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washbu\Desktop\NEW BUDGETS\"/>
    </mc:Choice>
  </mc:AlternateContent>
  <bookViews>
    <workbookView xWindow="0" yWindow="0" windowWidth="20490" windowHeight="7755"/>
  </bookViews>
  <sheets>
    <sheet name="Market Garden Budget" sheetId="5" r:id="rId1"/>
    <sheet name="Sales Price Sheet" sheetId="11" r:id="rId2"/>
    <sheet name="Labor" sheetId="14" r:id="rId3"/>
    <sheet name="Pest Control" sheetId="18" r:id="rId4"/>
    <sheet name="Market Garden Startup Cost" sheetId="6" r:id="rId5"/>
    <sheet name="Transplant Seed Cost Sheet" sheetId="15" r:id="rId6"/>
    <sheet name="Direct Seeded Cost Sheet" sheetId="8" r:id="rId7"/>
    <sheet name="EARLY SEASON CROPS 1" sheetId="13" r:id="rId8"/>
    <sheet name="MID SEASON CROPS 2" sheetId="16" r:id="rId9"/>
    <sheet name="LATE SEASON CROPS 3" sheetId="17" r:id="rId10"/>
    <sheet name="Irrigation Budget Sheet" sheetId="10" r:id="rId11"/>
    <sheet name="Garden Space Planner" sheetId="9" r:id="rId12"/>
    <sheet name="Market Garden Irrigation Layout" sheetId="4" r:id="rId13"/>
    <sheet name="NC Length of Growing Season" sheetId="2" r:id="rId14"/>
  </sheets>
  <definedNames>
    <definedName name="_xlnm._FilterDatabase" localSheetId="0" hidden="1">'Market Garden Budget'!$F$86:$F$86</definedName>
    <definedName name="_xlnm.Print_Area" localSheetId="6">'Direct Seeded Cost Sheet'!$A$1:$M$35</definedName>
    <definedName name="_xlnm.Print_Area" localSheetId="7">'EARLY SEASON CROPS 1'!$B$1:$K$55</definedName>
    <definedName name="_xlnm.Print_Area" localSheetId="11">'Garden Space Planner'!$A$1:$P$47</definedName>
    <definedName name="_xlnm.Print_Area" localSheetId="10">'Irrigation Budget Sheet'!$B$1:$I$56</definedName>
    <definedName name="_xlnm.Print_Area" localSheetId="2">Labor!$B$1:$N$23</definedName>
    <definedName name="_xlnm.Print_Area" localSheetId="9">'LATE SEASON CROPS 3'!$B$1:$K$55</definedName>
    <definedName name="_xlnm.Print_Area" localSheetId="0">'Market Garden Budget'!$B$1:$F$88</definedName>
    <definedName name="_xlnm.Print_Area" localSheetId="12">'Market Garden Irrigation Layout'!$A$1:$I$64</definedName>
    <definedName name="_xlnm.Print_Area" localSheetId="4">'Market Garden Startup Cost'!$B$1:$H$34</definedName>
    <definedName name="_xlnm.Print_Area" localSheetId="8">'MID SEASON CROPS 2'!$B$1:$K$54</definedName>
    <definedName name="_xlnm.Print_Area" localSheetId="13">'NC Length of Growing Season'!$A$1:$F$84</definedName>
    <definedName name="_xlnm.Print_Area" localSheetId="3">'Pest Control'!$A$1:$N$43</definedName>
    <definedName name="_xlnm.Print_Area" localSheetId="1">'Sales Price Sheet'!$A$1:$I$46</definedName>
    <definedName name="_xlnm.Print_Area" localSheetId="5">'Transplant Seed Cost Sheet'!$B$1:$L$21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6" l="1"/>
  <c r="E8" i="6"/>
  <c r="E9" i="6"/>
  <c r="C10" i="6"/>
  <c r="E10" i="6"/>
  <c r="E11" i="6"/>
  <c r="E12" i="6"/>
  <c r="E13" i="6"/>
  <c r="E14" i="6"/>
  <c r="E15" i="6"/>
  <c r="E16" i="6"/>
  <c r="E17" i="6"/>
  <c r="E18" i="6"/>
  <c r="E19" i="6"/>
  <c r="E20" i="6"/>
  <c r="E21" i="6"/>
  <c r="E22" i="6"/>
  <c r="E23" i="6"/>
  <c r="E24" i="6"/>
  <c r="E25" i="6"/>
  <c r="C26" i="6"/>
  <c r="E26" i="6"/>
  <c r="F77" i="5"/>
  <c r="F82" i="5"/>
  <c r="F7" i="8"/>
  <c r="H7" i="8"/>
  <c r="J7" i="8"/>
  <c r="K7" i="8"/>
  <c r="L7" i="8"/>
  <c r="M7" i="8"/>
  <c r="F8" i="8"/>
  <c r="H8" i="8"/>
  <c r="J8" i="8"/>
  <c r="K8" i="8"/>
  <c r="L8" i="8"/>
  <c r="M8" i="8"/>
  <c r="F9" i="8"/>
  <c r="H9" i="8"/>
  <c r="J9" i="8"/>
  <c r="K9" i="8"/>
  <c r="L9" i="8"/>
  <c r="M9" i="8"/>
  <c r="F10" i="8"/>
  <c r="H10" i="8"/>
  <c r="J10" i="8"/>
  <c r="K10" i="8"/>
  <c r="L10" i="8"/>
  <c r="M10" i="8"/>
  <c r="F11" i="8"/>
  <c r="H11" i="8"/>
  <c r="J11" i="8"/>
  <c r="K11" i="8"/>
  <c r="L11" i="8"/>
  <c r="M11" i="8"/>
  <c r="F12" i="8"/>
  <c r="H12" i="8"/>
  <c r="J12" i="8"/>
  <c r="K12" i="8"/>
  <c r="L12" i="8"/>
  <c r="M12" i="8"/>
  <c r="F13" i="8"/>
  <c r="H13" i="8"/>
  <c r="J13" i="8"/>
  <c r="K13" i="8"/>
  <c r="L13" i="8"/>
  <c r="M13" i="8"/>
  <c r="F14" i="8"/>
  <c r="H14" i="8"/>
  <c r="J14" i="8"/>
  <c r="K14" i="8"/>
  <c r="L14" i="8"/>
  <c r="M14" i="8"/>
  <c r="F15" i="8"/>
  <c r="H15" i="8"/>
  <c r="J15" i="8"/>
  <c r="K15" i="8"/>
  <c r="L15" i="8"/>
  <c r="M15" i="8"/>
  <c r="F16" i="8"/>
  <c r="H16" i="8"/>
  <c r="J16" i="8"/>
  <c r="K16" i="8"/>
  <c r="L16" i="8"/>
  <c r="M16" i="8"/>
  <c r="F17" i="8"/>
  <c r="H17" i="8"/>
  <c r="J17" i="8"/>
  <c r="K17" i="8"/>
  <c r="L17" i="8"/>
  <c r="M17" i="8"/>
  <c r="F18" i="8"/>
  <c r="H18" i="8"/>
  <c r="J18" i="8"/>
  <c r="K18" i="8"/>
  <c r="L18" i="8"/>
  <c r="M18" i="8"/>
  <c r="F19" i="8"/>
  <c r="H19" i="8"/>
  <c r="J19" i="8"/>
  <c r="K19" i="8"/>
  <c r="L19" i="8"/>
  <c r="M19" i="8"/>
  <c r="F20" i="8"/>
  <c r="H20" i="8"/>
  <c r="J20" i="8"/>
  <c r="K20" i="8"/>
  <c r="L20" i="8"/>
  <c r="M20" i="8"/>
  <c r="F21" i="8"/>
  <c r="H21" i="8"/>
  <c r="J21" i="8"/>
  <c r="K21" i="8"/>
  <c r="L21" i="8"/>
  <c r="M21" i="8"/>
  <c r="F22" i="8"/>
  <c r="H22" i="8"/>
  <c r="J22" i="8"/>
  <c r="K22" i="8"/>
  <c r="L22" i="8"/>
  <c r="M22" i="8"/>
  <c r="F23" i="8"/>
  <c r="H23" i="8"/>
  <c r="J23" i="8"/>
  <c r="K23" i="8"/>
  <c r="L23" i="8"/>
  <c r="M23" i="8"/>
  <c r="F24" i="8"/>
  <c r="H24" i="8"/>
  <c r="J24" i="8"/>
  <c r="K24" i="8"/>
  <c r="L24" i="8"/>
  <c r="M24" i="8"/>
  <c r="F25" i="8"/>
  <c r="H25" i="8"/>
  <c r="J25" i="8"/>
  <c r="K25" i="8"/>
  <c r="L25" i="8"/>
  <c r="M25" i="8"/>
  <c r="F26" i="8"/>
  <c r="H26" i="8"/>
  <c r="J26" i="8"/>
  <c r="K26" i="8"/>
  <c r="L26" i="8"/>
  <c r="M26" i="8"/>
  <c r="F27" i="8"/>
  <c r="H27" i="8"/>
  <c r="J27" i="8"/>
  <c r="K27" i="8"/>
  <c r="L27" i="8"/>
  <c r="M27" i="8"/>
  <c r="F28" i="8"/>
  <c r="H28" i="8"/>
  <c r="J28" i="8"/>
  <c r="K28" i="8"/>
  <c r="L28" i="8"/>
  <c r="M28" i="8"/>
  <c r="F29" i="8"/>
  <c r="H29" i="8"/>
  <c r="J29" i="8"/>
  <c r="K29" i="8"/>
  <c r="L29" i="8"/>
  <c r="M29" i="8"/>
  <c r="F30" i="8"/>
  <c r="H30" i="8"/>
  <c r="J30" i="8"/>
  <c r="K30" i="8"/>
  <c r="L30" i="8"/>
  <c r="M30" i="8"/>
  <c r="M31" i="8"/>
  <c r="F70" i="5"/>
  <c r="K7" i="15"/>
  <c r="L7" i="15"/>
  <c r="K8" i="15"/>
  <c r="L8" i="15"/>
  <c r="K9" i="15"/>
  <c r="L9" i="15"/>
  <c r="K10" i="15"/>
  <c r="L10" i="15"/>
  <c r="K11" i="15"/>
  <c r="L11" i="15"/>
  <c r="K12" i="15"/>
  <c r="L12" i="15"/>
  <c r="K13" i="15"/>
  <c r="L13" i="15"/>
  <c r="K14" i="15"/>
  <c r="L14" i="15"/>
  <c r="K15" i="15"/>
  <c r="L15" i="15"/>
  <c r="K16" i="15"/>
  <c r="L16" i="15"/>
  <c r="K17" i="15"/>
  <c r="L17" i="15"/>
  <c r="L18" i="15"/>
  <c r="F69" i="5"/>
  <c r="K12" i="14"/>
  <c r="K13" i="14"/>
  <c r="K14" i="14"/>
  <c r="K15" i="14"/>
  <c r="L12" i="14"/>
  <c r="L13" i="14"/>
  <c r="L14" i="14"/>
  <c r="L15" i="14"/>
  <c r="J12" i="14"/>
  <c r="J13" i="14"/>
  <c r="J14" i="14"/>
  <c r="J15" i="14"/>
  <c r="D17" i="14"/>
  <c r="D20" i="14"/>
  <c r="D22" i="14"/>
  <c r="F71" i="5"/>
  <c r="F74" i="5"/>
  <c r="F84" i="5"/>
  <c r="D7" i="13"/>
  <c r="D7" i="16"/>
  <c r="D7" i="17"/>
  <c r="C7" i="16"/>
  <c r="C7" i="13"/>
  <c r="C7" i="17"/>
  <c r="D13" i="5"/>
  <c r="F13" i="5"/>
  <c r="D8" i="13"/>
  <c r="D8" i="16"/>
  <c r="D8" i="17"/>
  <c r="C8" i="16"/>
  <c r="C8" i="13"/>
  <c r="C8" i="17"/>
  <c r="D14" i="5"/>
  <c r="F14" i="5"/>
  <c r="D9" i="13"/>
  <c r="D9" i="16"/>
  <c r="D9" i="17"/>
  <c r="C9" i="16"/>
  <c r="C9" i="13"/>
  <c r="C9" i="17"/>
  <c r="D15" i="5"/>
  <c r="F15" i="5"/>
  <c r="D10" i="13"/>
  <c r="D10" i="16"/>
  <c r="D10" i="17"/>
  <c r="C10" i="16"/>
  <c r="C10" i="13"/>
  <c r="C10" i="17"/>
  <c r="D16" i="5"/>
  <c r="F16" i="5"/>
  <c r="D11" i="13"/>
  <c r="D11" i="16"/>
  <c r="D11" i="17"/>
  <c r="C11" i="16"/>
  <c r="C11" i="13"/>
  <c r="C11" i="17"/>
  <c r="D17" i="5"/>
  <c r="F17" i="5"/>
  <c r="D12" i="13"/>
  <c r="D12" i="16"/>
  <c r="D12" i="17"/>
  <c r="C12" i="16"/>
  <c r="C12" i="13"/>
  <c r="C12" i="17"/>
  <c r="D18" i="5"/>
  <c r="F18" i="5"/>
  <c r="D13" i="13"/>
  <c r="D13" i="16"/>
  <c r="D13" i="17"/>
  <c r="C13" i="16"/>
  <c r="C13" i="13"/>
  <c r="C13" i="17"/>
  <c r="D19" i="5"/>
  <c r="F19" i="5"/>
  <c r="D14" i="13"/>
  <c r="D14" i="16"/>
  <c r="D14" i="17"/>
  <c r="C14" i="16"/>
  <c r="C14" i="13"/>
  <c r="C14" i="17"/>
  <c r="D20" i="5"/>
  <c r="F20" i="5"/>
  <c r="D15" i="13"/>
  <c r="D15" i="16"/>
  <c r="D15" i="17"/>
  <c r="C15" i="16"/>
  <c r="C15" i="13"/>
  <c r="C15" i="17"/>
  <c r="D21" i="5"/>
  <c r="F21" i="5"/>
  <c r="D16" i="13"/>
  <c r="D16" i="16"/>
  <c r="D16" i="17"/>
  <c r="C16" i="16"/>
  <c r="C16" i="13"/>
  <c r="C16" i="17"/>
  <c r="D22" i="5"/>
  <c r="F22" i="5"/>
  <c r="D17" i="13"/>
  <c r="D17" i="16"/>
  <c r="D17" i="17"/>
  <c r="C17" i="16"/>
  <c r="C17" i="13"/>
  <c r="C17" i="17"/>
  <c r="D23" i="5"/>
  <c r="F23" i="5"/>
  <c r="D18" i="13"/>
  <c r="D18" i="16"/>
  <c r="D18" i="17"/>
  <c r="C18" i="16"/>
  <c r="C18" i="13"/>
  <c r="C18" i="17"/>
  <c r="D24" i="5"/>
  <c r="F24" i="5"/>
  <c r="D19" i="13"/>
  <c r="D19" i="16"/>
  <c r="D19" i="17"/>
  <c r="C19" i="16"/>
  <c r="C19" i="13"/>
  <c r="C19" i="17"/>
  <c r="D25" i="5"/>
  <c r="F25" i="5"/>
  <c r="D20" i="13"/>
  <c r="D20" i="16"/>
  <c r="D20" i="17"/>
  <c r="C20" i="16"/>
  <c r="C20" i="13"/>
  <c r="C20" i="17"/>
  <c r="D26" i="5"/>
  <c r="F26" i="5"/>
  <c r="D21" i="13"/>
  <c r="D21" i="16"/>
  <c r="D21" i="17"/>
  <c r="C21" i="16"/>
  <c r="C21" i="13"/>
  <c r="C21" i="17"/>
  <c r="D27" i="5"/>
  <c r="F27" i="5"/>
  <c r="D22" i="13"/>
  <c r="D22" i="16"/>
  <c r="D22" i="17"/>
  <c r="C22" i="16"/>
  <c r="C22" i="13"/>
  <c r="C22" i="17"/>
  <c r="D28" i="5"/>
  <c r="F28" i="5"/>
  <c r="D23" i="13"/>
  <c r="D23" i="16"/>
  <c r="D23" i="17"/>
  <c r="D29" i="5"/>
  <c r="F29" i="5"/>
  <c r="D24" i="13"/>
  <c r="D24" i="16"/>
  <c r="D24" i="17"/>
  <c r="C24" i="16"/>
  <c r="C24" i="13"/>
  <c r="C24" i="17"/>
  <c r="D30" i="5"/>
  <c r="F30" i="5"/>
  <c r="D25" i="13"/>
  <c r="D25" i="16"/>
  <c r="D25" i="17"/>
  <c r="D31" i="5"/>
  <c r="F31" i="5"/>
  <c r="D26" i="13"/>
  <c r="D26" i="16"/>
  <c r="D26" i="17"/>
  <c r="C26" i="16"/>
  <c r="C26" i="13"/>
  <c r="C26" i="17"/>
  <c r="D32" i="5"/>
  <c r="F32" i="5"/>
  <c r="D27" i="13"/>
  <c r="D27" i="16"/>
  <c r="D27" i="17"/>
  <c r="D33" i="5"/>
  <c r="F33" i="5"/>
  <c r="D28" i="13"/>
  <c r="D28" i="16"/>
  <c r="D28" i="17"/>
  <c r="D34" i="5"/>
  <c r="F34" i="5"/>
  <c r="D29" i="13"/>
  <c r="D29" i="16"/>
  <c r="D29" i="17"/>
  <c r="C29" i="16"/>
  <c r="C29" i="13"/>
  <c r="C29" i="17"/>
  <c r="D35" i="5"/>
  <c r="F35" i="5"/>
  <c r="D30" i="13"/>
  <c r="D30" i="16"/>
  <c r="D30" i="17"/>
  <c r="C30" i="16"/>
  <c r="C30" i="13"/>
  <c r="C30" i="17"/>
  <c r="D36" i="5"/>
  <c r="F36" i="5"/>
  <c r="D31" i="13"/>
  <c r="D31" i="16"/>
  <c r="D31" i="17"/>
  <c r="D37" i="5"/>
  <c r="F37" i="5"/>
  <c r="D32" i="13"/>
  <c r="D32" i="16"/>
  <c r="D32" i="17"/>
  <c r="D38" i="5"/>
  <c r="F38" i="5"/>
  <c r="D33" i="13"/>
  <c r="D33" i="16"/>
  <c r="D33" i="17"/>
  <c r="D39" i="5"/>
  <c r="F39" i="5"/>
  <c r="D35" i="13"/>
  <c r="D35" i="16"/>
  <c r="D35" i="17"/>
  <c r="D41" i="5"/>
  <c r="F41" i="5"/>
  <c r="D39" i="13"/>
  <c r="D39" i="16"/>
  <c r="D39" i="17"/>
  <c r="D45" i="5"/>
  <c r="F45" i="5"/>
  <c r="D40" i="13"/>
  <c r="D40" i="16"/>
  <c r="D40" i="17"/>
  <c r="D46" i="5"/>
  <c r="F46" i="5"/>
  <c r="C34" i="16"/>
  <c r="C34" i="13"/>
  <c r="C34" i="17"/>
  <c r="D40" i="5"/>
  <c r="F40" i="5"/>
  <c r="D36" i="16"/>
  <c r="D36" i="13"/>
  <c r="D36" i="17"/>
  <c r="D42" i="5"/>
  <c r="F42" i="5"/>
  <c r="D37" i="16"/>
  <c r="D37" i="13"/>
  <c r="D37" i="17"/>
  <c r="D43" i="5"/>
  <c r="F43" i="5"/>
  <c r="D38" i="16"/>
  <c r="D38" i="13"/>
  <c r="D38" i="17"/>
  <c r="D44" i="5"/>
  <c r="F44" i="5"/>
  <c r="D41" i="16"/>
  <c r="D41" i="13"/>
  <c r="D41" i="17"/>
  <c r="D47" i="5"/>
  <c r="F47" i="5"/>
  <c r="F48" i="5"/>
  <c r="F87" i="5"/>
  <c r="C33" i="6"/>
  <c r="C32" i="6"/>
  <c r="D33" i="6"/>
  <c r="D32" i="6"/>
  <c r="E33" i="6"/>
  <c r="E32" i="6"/>
  <c r="F33" i="6"/>
  <c r="F32" i="6"/>
  <c r="G33" i="6"/>
  <c r="G32" i="6"/>
  <c r="H33" i="6"/>
  <c r="H32" i="6"/>
  <c r="C18" i="14"/>
  <c r="F58" i="5"/>
  <c r="F80" i="5"/>
  <c r="F57" i="5"/>
  <c r="D34" i="10"/>
  <c r="C47" i="10"/>
  <c r="C10" i="10"/>
  <c r="D87" i="18"/>
  <c r="K87" i="18"/>
  <c r="E66" i="5"/>
  <c r="D66" i="5"/>
  <c r="D41" i="10"/>
  <c r="D30" i="10"/>
  <c r="N56" i="18"/>
  <c r="N57" i="18"/>
  <c r="N58" i="18"/>
  <c r="N59" i="18"/>
  <c r="N60" i="18"/>
  <c r="N61" i="18"/>
  <c r="M14" i="18"/>
  <c r="N62" i="18"/>
  <c r="M15" i="18"/>
  <c r="N63" i="18"/>
  <c r="M16" i="18"/>
  <c r="N64" i="18"/>
  <c r="N65" i="18"/>
  <c r="N66" i="18"/>
  <c r="N68" i="18"/>
  <c r="N69" i="18"/>
  <c r="N70" i="18"/>
  <c r="M23" i="18"/>
  <c r="N71" i="18"/>
  <c r="M24" i="18"/>
  <c r="N72" i="18"/>
  <c r="M25" i="18"/>
  <c r="N73" i="18"/>
  <c r="M26" i="18"/>
  <c r="N74" i="18"/>
  <c r="M27" i="18"/>
  <c r="N75" i="18"/>
  <c r="N76" i="18"/>
  <c r="N78" i="18"/>
  <c r="M31" i="18"/>
  <c r="N79" i="18"/>
  <c r="M32" i="18"/>
  <c r="N80" i="18"/>
  <c r="M33" i="18"/>
  <c r="N81" i="18"/>
  <c r="M34" i="18"/>
  <c r="N82" i="18"/>
  <c r="M35" i="18"/>
  <c r="N83" i="18"/>
  <c r="M36" i="18"/>
  <c r="N84" i="18"/>
  <c r="M37" i="18"/>
  <c r="N85" i="18"/>
  <c r="M38" i="18"/>
  <c r="N86" i="18"/>
  <c r="M39" i="18"/>
  <c r="N55" i="18"/>
  <c r="M17" i="18"/>
  <c r="K32" i="18"/>
  <c r="K33" i="18"/>
  <c r="K34" i="18"/>
  <c r="K35" i="18"/>
  <c r="K36" i="18"/>
  <c r="K37" i="18"/>
  <c r="K38" i="18"/>
  <c r="K39" i="18"/>
  <c r="K31" i="18"/>
  <c r="I32" i="18"/>
  <c r="I33" i="18"/>
  <c r="I34" i="18"/>
  <c r="I35" i="18"/>
  <c r="I36" i="18"/>
  <c r="I37" i="18"/>
  <c r="I38" i="18"/>
  <c r="I39" i="18"/>
  <c r="I31" i="18"/>
  <c r="K22" i="18"/>
  <c r="K23" i="18"/>
  <c r="K24" i="18"/>
  <c r="K25" i="18"/>
  <c r="K26" i="18"/>
  <c r="K27" i="18"/>
  <c r="K21" i="18"/>
  <c r="K14" i="18"/>
  <c r="K15" i="18"/>
  <c r="K16" i="18"/>
  <c r="K17" i="18"/>
  <c r="K9" i="18"/>
  <c r="K10" i="18"/>
  <c r="K11" i="18"/>
  <c r="K12" i="18"/>
  <c r="K13" i="18"/>
  <c r="K8" i="18"/>
  <c r="I22" i="18"/>
  <c r="I23" i="18"/>
  <c r="I24" i="18"/>
  <c r="I25" i="18"/>
  <c r="I26" i="18"/>
  <c r="I27" i="18"/>
  <c r="I21" i="18"/>
  <c r="I9" i="18"/>
  <c r="I10" i="18"/>
  <c r="I11" i="18"/>
  <c r="I12" i="18"/>
  <c r="I13" i="18"/>
  <c r="I14" i="18"/>
  <c r="I15" i="18"/>
  <c r="I16" i="18"/>
  <c r="I17" i="18"/>
  <c r="I8" i="18"/>
  <c r="D32" i="18"/>
  <c r="D33" i="18"/>
  <c r="D34" i="18"/>
  <c r="D35" i="18"/>
  <c r="D36" i="18"/>
  <c r="D37" i="18"/>
  <c r="D38" i="18"/>
  <c r="D39" i="18"/>
  <c r="D31" i="18"/>
  <c r="D22" i="18"/>
  <c r="D23" i="18"/>
  <c r="D24" i="18"/>
  <c r="D25" i="18"/>
  <c r="D26" i="18"/>
  <c r="D27" i="18"/>
  <c r="D21" i="18"/>
  <c r="D9" i="18"/>
  <c r="D10" i="18"/>
  <c r="D11" i="18"/>
  <c r="D12" i="18"/>
  <c r="D13" i="18"/>
  <c r="D14" i="18"/>
  <c r="D15" i="18"/>
  <c r="D16" i="18"/>
  <c r="D17" i="18"/>
  <c r="D8" i="18"/>
  <c r="B32" i="18"/>
  <c r="B33" i="18"/>
  <c r="B34" i="18"/>
  <c r="B35" i="18"/>
  <c r="B36" i="18"/>
  <c r="B37" i="18"/>
  <c r="B38" i="18"/>
  <c r="B39" i="18"/>
  <c r="B31" i="18"/>
  <c r="B27" i="18"/>
  <c r="B22" i="18"/>
  <c r="B23" i="18"/>
  <c r="B24" i="18"/>
  <c r="B25" i="18"/>
  <c r="B26" i="18"/>
  <c r="B21" i="18"/>
  <c r="B9" i="18"/>
  <c r="B10" i="18"/>
  <c r="B11" i="18"/>
  <c r="B12" i="18"/>
  <c r="B13" i="18"/>
  <c r="B14" i="18"/>
  <c r="B15" i="18"/>
  <c r="B16" i="18"/>
  <c r="B17" i="18"/>
  <c r="B8" i="18"/>
  <c r="M22" i="18"/>
  <c r="M9" i="18"/>
  <c r="M10" i="18"/>
  <c r="M11" i="18"/>
  <c r="M12" i="18"/>
  <c r="M13" i="18"/>
  <c r="M8" i="18"/>
  <c r="M21" i="18"/>
  <c r="M28" i="18"/>
  <c r="G82" i="18"/>
  <c r="F35" i="18"/>
  <c r="G81" i="18"/>
  <c r="F34" i="18"/>
  <c r="G80" i="18"/>
  <c r="F33" i="18"/>
  <c r="G79" i="18"/>
  <c r="F32" i="18"/>
  <c r="G78" i="18"/>
  <c r="F31" i="18"/>
  <c r="G68" i="18"/>
  <c r="F21" i="18"/>
  <c r="G69" i="18"/>
  <c r="F22" i="18"/>
  <c r="G70" i="18"/>
  <c r="F23" i="18"/>
  <c r="I12" i="14"/>
  <c r="I14" i="14"/>
  <c r="I13" i="14"/>
  <c r="G60" i="18"/>
  <c r="F13" i="18"/>
  <c r="G59" i="18"/>
  <c r="F12" i="18"/>
  <c r="G58" i="18"/>
  <c r="F11" i="18"/>
  <c r="G57" i="18"/>
  <c r="F10" i="18"/>
  <c r="G56" i="18"/>
  <c r="F9" i="18"/>
  <c r="G55" i="18"/>
  <c r="F8" i="18"/>
  <c r="E62" i="5"/>
  <c r="E60" i="5"/>
  <c r="D60" i="5"/>
  <c r="F55" i="5"/>
  <c r="D62" i="5"/>
  <c r="C21" i="14"/>
  <c r="C22" i="14"/>
  <c r="C20" i="14"/>
  <c r="E71" i="5"/>
  <c r="F63" i="5"/>
  <c r="E64" i="5"/>
  <c r="F64" i="5"/>
  <c r="D61" i="5"/>
  <c r="M40" i="18"/>
  <c r="M18" i="18"/>
  <c r="F40" i="18"/>
  <c r="F28" i="18"/>
  <c r="F18" i="18"/>
  <c r="F62" i="5"/>
  <c r="F66" i="5"/>
  <c r="E61" i="5"/>
  <c r="E47" i="8"/>
  <c r="E48" i="8"/>
  <c r="E49" i="8"/>
  <c r="E50" i="8"/>
  <c r="E51" i="8"/>
  <c r="E52" i="8"/>
  <c r="E53" i="8"/>
  <c r="E46" i="8"/>
  <c r="I41" i="17"/>
  <c r="I40" i="17"/>
  <c r="I38" i="17"/>
  <c r="I36" i="17"/>
  <c r="I35" i="17"/>
  <c r="I34" i="17"/>
  <c r="I33" i="17"/>
  <c r="I32" i="17"/>
  <c r="I31" i="17"/>
  <c r="I30" i="17"/>
  <c r="I29" i="17"/>
  <c r="I28" i="17"/>
  <c r="I27" i="17"/>
  <c r="I25" i="17"/>
  <c r="I24" i="17"/>
  <c r="I23" i="17"/>
  <c r="I22" i="17"/>
  <c r="I21" i="17"/>
  <c r="I20" i="17"/>
  <c r="I19" i="17"/>
  <c r="I18" i="17"/>
  <c r="I17" i="17"/>
  <c r="I13" i="17"/>
  <c r="I12" i="17"/>
  <c r="I9" i="17"/>
  <c r="I8" i="17"/>
  <c r="I7" i="17"/>
  <c r="I40" i="16"/>
  <c r="I39" i="16"/>
  <c r="I37" i="16"/>
  <c r="I34" i="16"/>
  <c r="I33" i="16"/>
  <c r="I32" i="16"/>
  <c r="I31" i="16"/>
  <c r="I30" i="16"/>
  <c r="I28" i="16"/>
  <c r="I19" i="16"/>
  <c r="I13" i="16"/>
  <c r="I12" i="16"/>
  <c r="I9" i="16"/>
  <c r="I8" i="16"/>
  <c r="I7" i="16"/>
  <c r="I8" i="13"/>
  <c r="I9" i="13"/>
  <c r="I11" i="13"/>
  <c r="I12" i="13"/>
  <c r="I15" i="13"/>
  <c r="I17" i="13"/>
  <c r="I18" i="13"/>
  <c r="I19" i="13"/>
  <c r="I22" i="13"/>
  <c r="I23" i="13"/>
  <c r="I25" i="13"/>
  <c r="I26" i="13"/>
  <c r="I27" i="13"/>
  <c r="I28" i="13"/>
  <c r="I29" i="13"/>
  <c r="I30" i="13"/>
  <c r="I31" i="13"/>
  <c r="I32" i="13"/>
  <c r="I33" i="13"/>
  <c r="I34" i="13"/>
  <c r="I36" i="13"/>
  <c r="I37" i="13"/>
  <c r="I38" i="13"/>
  <c r="I39" i="13"/>
  <c r="I40" i="13"/>
  <c r="I41" i="13"/>
  <c r="I7" i="13"/>
  <c r="M42" i="18"/>
  <c r="E68" i="5"/>
  <c r="F68" i="5"/>
  <c r="F42" i="18"/>
  <c r="E67" i="5"/>
  <c r="F56" i="5"/>
  <c r="I14" i="15"/>
  <c r="I11" i="15"/>
  <c r="I15" i="15"/>
  <c r="B30" i="8"/>
  <c r="B29" i="8"/>
  <c r="B28" i="8"/>
  <c r="B27" i="8"/>
  <c r="B26" i="8"/>
  <c r="B25" i="8"/>
  <c r="B21" i="8"/>
  <c r="B22" i="8"/>
  <c r="B23" i="8"/>
  <c r="B24" i="8"/>
  <c r="B20" i="8"/>
  <c r="B18" i="8"/>
  <c r="B19" i="8"/>
  <c r="B17" i="8"/>
  <c r="B8" i="8"/>
  <c r="B9" i="8"/>
  <c r="B10" i="8"/>
  <c r="B11" i="8"/>
  <c r="B12" i="8"/>
  <c r="B13" i="8"/>
  <c r="B14" i="8"/>
  <c r="B15" i="8"/>
  <c r="B16" i="8"/>
  <c r="B7" i="8"/>
  <c r="I8" i="15"/>
  <c r="I9" i="15"/>
  <c r="I10" i="15"/>
  <c r="I12" i="15"/>
  <c r="I13" i="15"/>
  <c r="I16" i="15"/>
  <c r="I17" i="15"/>
  <c r="I7" i="15"/>
  <c r="G8" i="15"/>
  <c r="G9" i="15"/>
  <c r="G10" i="15"/>
  <c r="G11" i="15"/>
  <c r="G12" i="15"/>
  <c r="G13" i="15"/>
  <c r="G14" i="15"/>
  <c r="G15" i="15"/>
  <c r="G16" i="15"/>
  <c r="G17" i="15"/>
  <c r="G7" i="15"/>
  <c r="B17" i="15"/>
  <c r="B16" i="15"/>
  <c r="B15" i="15"/>
  <c r="B14" i="15"/>
  <c r="B13" i="15"/>
  <c r="B12" i="15"/>
  <c r="B11" i="15"/>
  <c r="B10" i="15"/>
  <c r="B9" i="15"/>
  <c r="B8" i="15"/>
  <c r="B7" i="15"/>
  <c r="K18" i="15"/>
  <c r="L31" i="8"/>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13" i="5"/>
  <c r="G42" i="17"/>
  <c r="E41" i="17"/>
  <c r="E40" i="17"/>
  <c r="E39" i="17"/>
  <c r="E38" i="17"/>
  <c r="E37" i="17"/>
  <c r="E36" i="17"/>
  <c r="E35" i="17"/>
  <c r="E34" i="17"/>
  <c r="F34" i="17"/>
  <c r="H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E7" i="17"/>
  <c r="G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H14" i="15"/>
  <c r="J14" i="15"/>
  <c r="H9" i="15"/>
  <c r="J9" i="15"/>
  <c r="H10" i="15"/>
  <c r="J10" i="15"/>
  <c r="H11" i="15"/>
  <c r="J11" i="15"/>
  <c r="H12" i="15"/>
  <c r="J12" i="15"/>
  <c r="H13" i="15"/>
  <c r="J13" i="15"/>
  <c r="H15" i="15"/>
  <c r="J15" i="15"/>
  <c r="H16" i="15"/>
  <c r="J16" i="15"/>
  <c r="H17" i="15"/>
  <c r="J17" i="15"/>
  <c r="H8" i="15"/>
  <c r="J8" i="15"/>
  <c r="H7" i="15"/>
  <c r="J7" i="15"/>
  <c r="F18" i="17"/>
  <c r="H18" i="17"/>
  <c r="F8" i="16"/>
  <c r="H8" i="16"/>
  <c r="F10" i="16"/>
  <c r="F12" i="16"/>
  <c r="H12" i="16"/>
  <c r="F14" i="16"/>
  <c r="F16" i="16"/>
  <c r="F20" i="16"/>
  <c r="F24" i="16"/>
  <c r="F26" i="16"/>
  <c r="F28" i="16"/>
  <c r="H28" i="16"/>
  <c r="F7" i="16"/>
  <c r="H7" i="16"/>
  <c r="F9" i="16"/>
  <c r="H9" i="16"/>
  <c r="F11" i="16"/>
  <c r="F13" i="16"/>
  <c r="H13" i="16"/>
  <c r="F15" i="16"/>
  <c r="F19" i="16"/>
  <c r="H19" i="16"/>
  <c r="F21" i="16"/>
  <c r="F25" i="16"/>
  <c r="F27" i="16"/>
  <c r="F7" i="17"/>
  <c r="H7" i="17"/>
  <c r="F9" i="17"/>
  <c r="H9" i="17"/>
  <c r="F11" i="17"/>
  <c r="F13" i="17"/>
  <c r="H13" i="17"/>
  <c r="F15" i="17"/>
  <c r="F19" i="17"/>
  <c r="H19" i="17"/>
  <c r="F21" i="17"/>
  <c r="H21" i="17"/>
  <c r="F25" i="17"/>
  <c r="H25" i="17"/>
  <c r="F27" i="17"/>
  <c r="H27" i="17"/>
  <c r="F8" i="17"/>
  <c r="H8" i="17"/>
  <c r="F10" i="17"/>
  <c r="F12" i="17"/>
  <c r="H12" i="17"/>
  <c r="F14" i="17"/>
  <c r="F16" i="17"/>
  <c r="F20" i="17"/>
  <c r="H20" i="17"/>
  <c r="F24" i="17"/>
  <c r="H24" i="17"/>
  <c r="F26" i="17"/>
  <c r="F28" i="17"/>
  <c r="H28" i="17"/>
  <c r="F23" i="17"/>
  <c r="H23" i="17"/>
  <c r="F29" i="17"/>
  <c r="H29" i="17"/>
  <c r="F31" i="17"/>
  <c r="H31" i="17"/>
  <c r="F33" i="17"/>
  <c r="H33" i="17"/>
  <c r="F17" i="16"/>
  <c r="F23" i="16"/>
  <c r="F29" i="16"/>
  <c r="F31" i="16"/>
  <c r="H31" i="16"/>
  <c r="F33" i="16"/>
  <c r="H33" i="16"/>
  <c r="F35" i="16"/>
  <c r="F37" i="16"/>
  <c r="H37" i="16"/>
  <c r="F39" i="16"/>
  <c r="H39" i="16"/>
  <c r="F41" i="16"/>
  <c r="F35" i="17"/>
  <c r="H35" i="17"/>
  <c r="F37" i="17"/>
  <c r="F39" i="17"/>
  <c r="F41" i="17"/>
  <c r="H41" i="17"/>
  <c r="F18" i="16"/>
  <c r="F22" i="16"/>
  <c r="F30" i="16"/>
  <c r="H30" i="16"/>
  <c r="F32" i="16"/>
  <c r="H32" i="16"/>
  <c r="F34" i="16"/>
  <c r="H34" i="16"/>
  <c r="F36" i="16"/>
  <c r="F38" i="16"/>
  <c r="F40" i="16"/>
  <c r="H40" i="16"/>
  <c r="F22" i="17"/>
  <c r="H22" i="17"/>
  <c r="F30" i="17"/>
  <c r="H30" i="17"/>
  <c r="F32" i="17"/>
  <c r="H32" i="17"/>
  <c r="F17" i="17"/>
  <c r="H17" i="17"/>
  <c r="F36" i="17"/>
  <c r="H36" i="17"/>
  <c r="F38" i="17"/>
  <c r="H38" i="17"/>
  <c r="F40" i="17"/>
  <c r="H40" i="17"/>
  <c r="E39" i="8"/>
  <c r="E40" i="8"/>
  <c r="L40" i="8"/>
  <c r="L41" i="8"/>
  <c r="L42" i="8"/>
  <c r="L43" i="8"/>
  <c r="L44" i="8"/>
  <c r="L45" i="8"/>
  <c r="L46" i="8"/>
  <c r="L47" i="8"/>
  <c r="L48" i="8"/>
  <c r="L49" i="8"/>
  <c r="L50" i="8"/>
  <c r="L51" i="8"/>
  <c r="L52" i="8"/>
  <c r="L53" i="8"/>
  <c r="L39" i="8"/>
  <c r="E41" i="8"/>
  <c r="E42" i="8"/>
  <c r="E43" i="8"/>
  <c r="E44" i="8"/>
  <c r="E45" i="8"/>
  <c r="E69" i="5"/>
  <c r="H39" i="17"/>
  <c r="H26" i="17"/>
  <c r="H14" i="17"/>
  <c r="H11" i="17"/>
  <c r="H10" i="17"/>
  <c r="H15" i="17"/>
  <c r="H37" i="17"/>
  <c r="H16" i="17"/>
  <c r="H41" i="16"/>
  <c r="H18" i="16"/>
  <c r="H35" i="16"/>
  <c r="H23" i="16"/>
  <c r="H25" i="16"/>
  <c r="H16" i="16"/>
  <c r="H17" i="16"/>
  <c r="H21" i="16"/>
  <c r="H11" i="16"/>
  <c r="H26" i="16"/>
  <c r="H14" i="16"/>
  <c r="H38" i="16"/>
  <c r="H24" i="16"/>
  <c r="H36" i="16"/>
  <c r="H22" i="16"/>
  <c r="H29" i="16"/>
  <c r="H27" i="16"/>
  <c r="H15" i="16"/>
  <c r="H20" i="16"/>
  <c r="H10" i="16"/>
  <c r="H42" i="17"/>
  <c r="H42" i="16"/>
  <c r="N13" i="14"/>
  <c r="N12" i="14"/>
  <c r="N14" i="14"/>
  <c r="N15" i="14"/>
  <c r="B18" i="11"/>
  <c r="F53" i="5"/>
  <c r="B8" i="11"/>
  <c r="B9" i="11"/>
  <c r="B10" i="11"/>
  <c r="B11" i="11"/>
  <c r="B12" i="11"/>
  <c r="B13" i="11"/>
  <c r="B14" i="11"/>
  <c r="B15" i="11"/>
  <c r="B16" i="11"/>
  <c r="B17" i="11"/>
  <c r="B19" i="11"/>
  <c r="B20" i="11"/>
  <c r="B21" i="11"/>
  <c r="B22" i="11"/>
  <c r="B23" i="11"/>
  <c r="B24" i="11"/>
  <c r="B25" i="11"/>
  <c r="B26" i="11"/>
  <c r="B27" i="11"/>
  <c r="B28" i="11"/>
  <c r="B29" i="11"/>
  <c r="B30" i="11"/>
  <c r="B31" i="11"/>
  <c r="B32" i="11"/>
  <c r="B33" i="11"/>
  <c r="B34" i="11"/>
  <c r="B35" i="11"/>
  <c r="B36" i="11"/>
  <c r="B37" i="11"/>
  <c r="B38" i="11"/>
  <c r="B39" i="11"/>
  <c r="B40" i="11"/>
  <c r="B41" i="11"/>
  <c r="B42" i="11"/>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G42" i="13"/>
  <c r="E41" i="13"/>
  <c r="F41" i="13"/>
  <c r="E40" i="13"/>
  <c r="F40" i="13"/>
  <c r="E39" i="13"/>
  <c r="F39" i="13"/>
  <c r="E38" i="13"/>
  <c r="F38" i="13"/>
  <c r="E37" i="13"/>
  <c r="E36" i="13"/>
  <c r="E35" i="13"/>
  <c r="F35" i="13"/>
  <c r="E34" i="13"/>
  <c r="F34" i="13"/>
  <c r="E33" i="13"/>
  <c r="F33" i="13"/>
  <c r="E32" i="13"/>
  <c r="F32" i="13"/>
  <c r="E31" i="13"/>
  <c r="F31" i="13"/>
  <c r="E30" i="13"/>
  <c r="F30" i="13"/>
  <c r="E29" i="13"/>
  <c r="F29" i="13"/>
  <c r="E28" i="13"/>
  <c r="F28" i="13"/>
  <c r="E27" i="13"/>
  <c r="F27" i="13"/>
  <c r="E26" i="13"/>
  <c r="F26" i="13"/>
  <c r="E25" i="13"/>
  <c r="F25" i="13"/>
  <c r="E24" i="13"/>
  <c r="E23" i="13"/>
  <c r="F23" i="13"/>
  <c r="E22" i="13"/>
  <c r="F22" i="13"/>
  <c r="E21" i="13"/>
  <c r="F21" i="13"/>
  <c r="E20" i="13"/>
  <c r="F20" i="13"/>
  <c r="E19" i="13"/>
  <c r="F19" i="13"/>
  <c r="H19" i="13"/>
  <c r="E18" i="13"/>
  <c r="F18" i="13"/>
  <c r="E17" i="13"/>
  <c r="F17" i="13"/>
  <c r="E16" i="13"/>
  <c r="F16" i="13"/>
  <c r="E15" i="13"/>
  <c r="F15" i="13"/>
  <c r="E14" i="13"/>
  <c r="F14" i="13"/>
  <c r="E13" i="13"/>
  <c r="F13" i="13"/>
  <c r="E12" i="13"/>
  <c r="F12" i="13"/>
  <c r="E11" i="13"/>
  <c r="F11" i="13"/>
  <c r="E10" i="13"/>
  <c r="F10" i="13"/>
  <c r="E9" i="13"/>
  <c r="F9" i="13"/>
  <c r="E8" i="13"/>
  <c r="F8" i="13"/>
  <c r="E7" i="13"/>
  <c r="F7" i="13"/>
  <c r="D21" i="14"/>
  <c r="D71" i="5"/>
  <c r="E70" i="5"/>
  <c r="F37" i="13"/>
  <c r="H37" i="13"/>
  <c r="F24" i="13"/>
  <c r="F36" i="13"/>
  <c r="H36" i="13"/>
  <c r="H8" i="13"/>
  <c r="H9" i="13"/>
  <c r="H10" i="13"/>
  <c r="H7" i="13"/>
  <c r="D18" i="14"/>
  <c r="H26" i="13"/>
  <c r="H15" i="13"/>
  <c r="H35" i="13"/>
  <c r="H12" i="13"/>
  <c r="H33" i="13"/>
  <c r="H22" i="13"/>
  <c r="H40" i="13"/>
  <c r="H31" i="13"/>
  <c r="H21" i="13"/>
  <c r="H28" i="13"/>
  <c r="H18" i="13"/>
  <c r="H13" i="13"/>
  <c r="H41" i="13"/>
  <c r="H11" i="13"/>
  <c r="H17" i="13"/>
  <c r="H23" i="13"/>
  <c r="H39" i="13"/>
  <c r="H16" i="13"/>
  <c r="H25" i="13"/>
  <c r="H27" i="13"/>
  <c r="H30" i="13"/>
  <c r="H32" i="13"/>
  <c r="H34" i="13"/>
  <c r="H14" i="13"/>
  <c r="H29" i="13"/>
  <c r="H20" i="13"/>
  <c r="H38" i="13"/>
  <c r="H24" i="13"/>
  <c r="H42" i="13"/>
  <c r="D19" i="14"/>
  <c r="G47" i="10"/>
  <c r="H47" i="10"/>
  <c r="F45" i="10"/>
  <c r="G45" i="10"/>
  <c r="G34" i="10"/>
  <c r="H34" i="10"/>
  <c r="I34" i="10"/>
  <c r="G33" i="10"/>
  <c r="H33" i="10"/>
  <c r="I33" i="10"/>
  <c r="G32" i="10"/>
  <c r="H32" i="10"/>
  <c r="I32" i="10"/>
  <c r="E41" i="10"/>
  <c r="C18" i="10"/>
  <c r="C17" i="10"/>
  <c r="G41" i="10"/>
  <c r="H41" i="10"/>
  <c r="C16" i="10"/>
  <c r="D19" i="10"/>
  <c r="H45" i="10"/>
  <c r="H48" i="10"/>
  <c r="G48" i="10"/>
  <c r="C52" i="10"/>
  <c r="D16" i="10"/>
  <c r="D18" i="10"/>
  <c r="C11" i="10"/>
  <c r="E30" i="10"/>
  <c r="D17" i="10"/>
  <c r="C19" i="10"/>
  <c r="E31" i="10"/>
  <c r="G31" i="10"/>
  <c r="G30" i="10"/>
  <c r="H30" i="10"/>
  <c r="I30" i="10"/>
  <c r="I41" i="10"/>
  <c r="D52" i="10"/>
  <c r="E72" i="5"/>
  <c r="F72" i="5"/>
  <c r="E52" i="10"/>
  <c r="G35" i="10"/>
  <c r="H31" i="10"/>
  <c r="I31" i="10"/>
  <c r="I35" i="10"/>
  <c r="H35" i="10"/>
  <c r="F61" i="5"/>
  <c r="F67" i="5"/>
  <c r="F60" i="5"/>
  <c r="F54" i="5"/>
  <c r="F52" i="5"/>
  <c r="C51" i="10"/>
  <c r="C53" i="10"/>
  <c r="F86" i="5"/>
  <c r="E51" i="10"/>
  <c r="E53" i="10"/>
  <c r="D51" i="10"/>
  <c r="D53" i="10"/>
  <c r="D78" i="5"/>
  <c r="F78" i="5"/>
  <c r="D77" i="5"/>
  <c r="I13" i="13"/>
  <c r="I15" i="16"/>
  <c r="I14" i="16"/>
  <c r="I14" i="17"/>
  <c r="I11" i="16"/>
  <c r="I35" i="13"/>
  <c r="I24" i="13"/>
  <c r="I10" i="16"/>
  <c r="I27" i="16"/>
  <c r="I18" i="16"/>
  <c r="I25" i="16"/>
  <c r="I21" i="13"/>
  <c r="I14" i="13"/>
  <c r="I26" i="16"/>
  <c r="I29" i="16"/>
  <c r="I17" i="16"/>
  <c r="I22" i="16"/>
  <c r="I36" i="16"/>
  <c r="I21" i="16"/>
  <c r="I39" i="17"/>
  <c r="I11" i="17"/>
  <c r="I24" i="16"/>
  <c r="I41" i="16"/>
  <c r="I16" i="17"/>
  <c r="I23" i="16"/>
  <c r="I38" i="16"/>
  <c r="I16" i="16"/>
  <c r="I16" i="13"/>
  <c r="I35" i="16"/>
  <c r="I15" i="17"/>
  <c r="I10" i="17"/>
  <c r="I37" i="17"/>
  <c r="I20" i="13"/>
  <c r="I10" i="13"/>
  <c r="I26" i="17"/>
  <c r="I20" i="16"/>
  <c r="I42" i="16"/>
  <c r="I42" i="17"/>
  <c r="I42" i="13"/>
</calcChain>
</file>

<file path=xl/comments1.xml><?xml version="1.0" encoding="utf-8"?>
<comments xmlns="http://schemas.openxmlformats.org/spreadsheetml/2006/main">
  <authors>
    <author>dawashbu</author>
  </authors>
  <commentList>
    <comment ref="F6" authorId="0" shapeId="0">
      <text>
        <r>
          <rPr>
            <b/>
            <sz val="9"/>
            <color indexed="81"/>
            <rFont val="Tahoma"/>
            <family val="2"/>
          </rPr>
          <t>dawashbu:</t>
        </r>
        <r>
          <rPr>
            <sz val="9"/>
            <color indexed="81"/>
            <rFont val="Tahoma"/>
            <family val="2"/>
          </rPr>
          <t xml:space="preserve">
Cost for repairs on maintenance and equipment for the Year, we assumed $500 for 4 oil changes on the farm truck and proper maintenance of the tiller. </t>
        </r>
      </text>
    </comment>
    <comment ref="B72" authorId="0" shapeId="0">
      <text>
        <r>
          <rPr>
            <sz val="9"/>
            <color indexed="81"/>
            <rFont val="Tahoma"/>
            <family val="2"/>
          </rPr>
          <t>NOTE: This line item is for a motorized pump. For the purposes of this budget we have assumed the use of a pre-existing well that included a pump suitable for drip.</t>
        </r>
      </text>
    </comment>
  </commentList>
</comments>
</file>

<file path=xl/sharedStrings.xml><?xml version="1.0" encoding="utf-8"?>
<sst xmlns="http://schemas.openxmlformats.org/spreadsheetml/2006/main" count="1110" uniqueCount="610">
  <si>
    <t>County</t>
  </si>
  <si>
    <t>Station Name</t>
  </si>
  <si>
    <t>Alamance</t>
  </si>
  <si>
    <t>Burlington</t>
  </si>
  <si>
    <t>Anson</t>
  </si>
  <si>
    <t>Wadesboro</t>
  </si>
  <si>
    <t>Ashe</t>
  </si>
  <si>
    <t>Transou</t>
  </si>
  <si>
    <t>Avery</t>
  </si>
  <si>
    <t>Banner Elk</t>
  </si>
  <si>
    <t>Brunswick</t>
  </si>
  <si>
    <t>Southport 5 N</t>
  </si>
  <si>
    <t>Buncombe</t>
  </si>
  <si>
    <t>Asheville</t>
  </si>
  <si>
    <t>.</t>
  </si>
  <si>
    <t>Black Mountain</t>
  </si>
  <si>
    <t>Bent Creek</t>
  </si>
  <si>
    <t>Enka</t>
  </si>
  <si>
    <t>Burke</t>
  </si>
  <si>
    <t>Morganton</t>
  </si>
  <si>
    <t>Hickory</t>
  </si>
  <si>
    <t>Cabarrus</t>
  </si>
  <si>
    <t>Concord</t>
  </si>
  <si>
    <t>Caldwell</t>
  </si>
  <si>
    <t>Lenoir</t>
  </si>
  <si>
    <t>Carteret</t>
  </si>
  <si>
    <t>Morehead City 2 WNW</t>
  </si>
  <si>
    <t>Chatham</t>
  </si>
  <si>
    <t>Siler City 2 NW</t>
  </si>
  <si>
    <t>Cherokee</t>
  </si>
  <si>
    <t>Andrews 2 E</t>
  </si>
  <si>
    <t>Chowan</t>
  </si>
  <si>
    <t>Edenton</t>
  </si>
  <si>
    <t>Cleveland</t>
  </si>
  <si>
    <t>Shelby 2 NNE</t>
  </si>
  <si>
    <t>Columbus</t>
  </si>
  <si>
    <t>Whiteville 7 NW</t>
  </si>
  <si>
    <t>Craven</t>
  </si>
  <si>
    <t>New Bern FAA AP</t>
  </si>
  <si>
    <t>Cumberland</t>
  </si>
  <si>
    <t>Fayetteville</t>
  </si>
  <si>
    <t>Dare</t>
  </si>
  <si>
    <t>Hatteras</t>
  </si>
  <si>
    <t>Davidson</t>
  </si>
  <si>
    <t>Lexington</t>
  </si>
  <si>
    <t>Durham</t>
  </si>
  <si>
    <t>Edgecombe</t>
  </si>
  <si>
    <t>Rocky Mount 8 ESE</t>
  </si>
  <si>
    <t>Tarboro 1 S</t>
  </si>
  <si>
    <t>Gaston</t>
  </si>
  <si>
    <t>Gastonia</t>
  </si>
  <si>
    <t>Granville</t>
  </si>
  <si>
    <t>Oxford 2 SW</t>
  </si>
  <si>
    <t>Guilford</t>
  </si>
  <si>
    <t>High Point</t>
  </si>
  <si>
    <t>Greensboro Pump Station</t>
  </si>
  <si>
    <t>Greensboro WSO AP</t>
  </si>
  <si>
    <t>Haywood</t>
  </si>
  <si>
    <t>Canton 1 SW</t>
  </si>
  <si>
    <t>Waynesville 1 E</t>
  </si>
  <si>
    <t>Waterville 2</t>
  </si>
  <si>
    <t>Henderson</t>
  </si>
  <si>
    <t>Hendersonville 1 NE</t>
  </si>
  <si>
    <t>Hyde</t>
  </si>
  <si>
    <t>New Holland</t>
  </si>
  <si>
    <t>Iredell</t>
  </si>
  <si>
    <t>Statesville 2 NNE</t>
  </si>
  <si>
    <t>Jackson</t>
  </si>
  <si>
    <t>Cullowhee</t>
  </si>
  <si>
    <t>Johnston</t>
  </si>
  <si>
    <t>Smithfield</t>
  </si>
  <si>
    <t>Jones</t>
  </si>
  <si>
    <t>Maysville 6 W</t>
  </si>
  <si>
    <t>Lee</t>
  </si>
  <si>
    <t>Sanford 8 NE</t>
  </si>
  <si>
    <t>Kinston 5 E</t>
  </si>
  <si>
    <t>Macon</t>
  </si>
  <si>
    <t>Coweeta Exp Station</t>
  </si>
  <si>
    <t>Highlands 2 S</t>
  </si>
  <si>
    <t>Franklin 1 SSW</t>
  </si>
  <si>
    <t>Madison</t>
  </si>
  <si>
    <t>Marshall</t>
  </si>
  <si>
    <t>Hot Springs 2</t>
  </si>
  <si>
    <t>Martin</t>
  </si>
  <si>
    <t>Williamston 1 ENE</t>
  </si>
  <si>
    <t>McDowell</t>
  </si>
  <si>
    <t>Marion</t>
  </si>
  <si>
    <t>Mecklenburg</t>
  </si>
  <si>
    <t>Charlotte WSO AP</t>
  </si>
  <si>
    <t>Nash</t>
  </si>
  <si>
    <t>Nashville</t>
  </si>
  <si>
    <t>New Hanover</t>
  </si>
  <si>
    <t>Wilmington WSO AP</t>
  </si>
  <si>
    <t>Wilmington 7 N</t>
  </si>
  <si>
    <t>Northampton</t>
  </si>
  <si>
    <t>Orange</t>
  </si>
  <si>
    <t>Chapel Hill 2 W</t>
  </si>
  <si>
    <t>Pasquotank</t>
  </si>
  <si>
    <t>Elizabeth City FAA AP</t>
  </si>
  <si>
    <t>Pender</t>
  </si>
  <si>
    <t>Willard 4 SW</t>
  </si>
  <si>
    <t>Pitt</t>
  </si>
  <si>
    <t>Greenville</t>
  </si>
  <si>
    <t>Polk</t>
  </si>
  <si>
    <t>Tryon</t>
  </si>
  <si>
    <t>Randolph</t>
  </si>
  <si>
    <t>Asheboro 2 W</t>
  </si>
  <si>
    <t>Richmond</t>
  </si>
  <si>
    <t>Hamlet</t>
  </si>
  <si>
    <t>Robeson</t>
  </si>
  <si>
    <t>Lumberton 6 NW</t>
  </si>
  <si>
    <t>Rockingham</t>
  </si>
  <si>
    <t>Reidsville 2 NW</t>
  </si>
  <si>
    <t>Rowan</t>
  </si>
  <si>
    <t>Salisbury</t>
  </si>
  <si>
    <t>Rowan Research Station</t>
  </si>
  <si>
    <t>Sampson</t>
  </si>
  <si>
    <t>Clinton</t>
  </si>
  <si>
    <t>Scotland</t>
  </si>
  <si>
    <t>Laurinburg</t>
  </si>
  <si>
    <t>Stanly</t>
  </si>
  <si>
    <t>Albemarle 4 N</t>
  </si>
  <si>
    <t>Surry</t>
  </si>
  <si>
    <t>Mount Airy</t>
  </si>
  <si>
    <t>Transvylvania</t>
  </si>
  <si>
    <t>Pisgah Forest 1 N</t>
  </si>
  <si>
    <t>Brevard</t>
  </si>
  <si>
    <t>Union</t>
  </si>
  <si>
    <t>Monroe 4 SE</t>
  </si>
  <si>
    <t>Vance</t>
  </si>
  <si>
    <t>Henderson 2 NNW</t>
  </si>
  <si>
    <t>Wake</t>
  </si>
  <si>
    <t>Raleigh NCSU</t>
  </si>
  <si>
    <t>Raleigh 4 SW</t>
  </si>
  <si>
    <t>Raleigh-Durham WSO AP</t>
  </si>
  <si>
    <t>Washington</t>
  </si>
  <si>
    <t>Plymouth 5 E</t>
  </si>
  <si>
    <t>Watauga</t>
  </si>
  <si>
    <t>Blowing Rock</t>
  </si>
  <si>
    <t>Wayne</t>
  </si>
  <si>
    <t>Goldsboro 1 SSW</t>
  </si>
  <si>
    <t>Wilson</t>
  </si>
  <si>
    <t>Wilson 3 SW</t>
  </si>
  <si>
    <t>Yancey</t>
  </si>
  <si>
    <t>Celo 2 S</t>
  </si>
  <si>
    <t>Average growing season</t>
  </si>
  <si>
    <t>Typical days variance + or -</t>
  </si>
  <si>
    <t>Beets</t>
  </si>
  <si>
    <t>5ft          {</t>
  </si>
  <si>
    <t>Quadrant A</t>
  </si>
  <si>
    <t>Quadrant D</t>
  </si>
  <si>
    <t>Broccoli</t>
  </si>
  <si>
    <t>Vegetable Crop</t>
  </si>
  <si>
    <t>Brussel Sprouts</t>
  </si>
  <si>
    <t>Cabbage</t>
  </si>
  <si>
    <t>Carrots</t>
  </si>
  <si>
    <t>Cauliflower</t>
  </si>
  <si>
    <t>Eggplant</t>
  </si>
  <si>
    <t>Lettuce, head**</t>
  </si>
  <si>
    <t>Lettuce, leaf</t>
  </si>
  <si>
    <t>Muskmelon, cantaloupe**</t>
  </si>
  <si>
    <t>Cucumbers, long seedless</t>
  </si>
  <si>
    <t>Unit</t>
  </si>
  <si>
    <t>Total</t>
  </si>
  <si>
    <t>Cost</t>
  </si>
  <si>
    <t>50lb bags</t>
  </si>
  <si>
    <t>Total Variable Cost</t>
  </si>
  <si>
    <t>Total Fixed Cost</t>
  </si>
  <si>
    <t>Total Cost</t>
  </si>
  <si>
    <t>Net Returns over variable cost</t>
  </si>
  <si>
    <r>
      <t xml:space="preserve">9ft   </t>
    </r>
    <r>
      <rPr>
        <sz val="36"/>
        <color indexed="8"/>
        <rFont val="Helvetica Neue"/>
      </rPr>
      <t xml:space="preserve"> </t>
    </r>
  </si>
  <si>
    <t>rotate crops clockwise</t>
  </si>
  <si>
    <t>Section 1</t>
  </si>
  <si>
    <t>Section 2</t>
  </si>
  <si>
    <t>Section A,1: Green and bulb onions, garlic, shallots Leaks</t>
  </si>
  <si>
    <t>Section B,2: Cucumbers, Summer Squash, Winter Squash</t>
  </si>
  <si>
    <t>Section C,1: Snow and snap peas, green and dry beans</t>
  </si>
  <si>
    <t>Section C,2: Tomatoes, peppers, eggplant</t>
  </si>
  <si>
    <t>Section D, 1: Lettuce, Endive</t>
  </si>
  <si>
    <t>Turnips, Kale, Asian greens, Arugula</t>
  </si>
  <si>
    <t>Parsley</t>
  </si>
  <si>
    <t>Okra</t>
  </si>
  <si>
    <t>Harvest Cart</t>
  </si>
  <si>
    <t>Sprayer</t>
  </si>
  <si>
    <t>Harvest Baskets, scales</t>
  </si>
  <si>
    <t>Crop</t>
  </si>
  <si>
    <t>Water Source</t>
  </si>
  <si>
    <t>Resources for this budget:</t>
  </si>
  <si>
    <t>http://cdn.dripworks.com/downloads/details/gp_kdt_dlx001.pdf</t>
  </si>
  <si>
    <t>Irrigation plan</t>
  </si>
  <si>
    <t>Irrigation kit pricing</t>
  </si>
  <si>
    <t>http://www.dripworks.com/product/KDT3</t>
  </si>
  <si>
    <t>Resources for this Budget:</t>
  </si>
  <si>
    <t>http://www.tractorhouse.com/drilldown/manufacturers.aspx?catid=1110</t>
  </si>
  <si>
    <t>http://cru.cahe.wsu.edu/CEPublications/EM032E/EM032E.pdf</t>
  </si>
  <si>
    <t>WSU Market Garden Resource</t>
  </si>
  <si>
    <t>http://www.groworganic.com/organic-gardening/articles/quick-guide-to-vegetable-families-for-crop-rotation</t>
  </si>
  <si>
    <t>irrigation kit pricing:</t>
  </si>
  <si>
    <t>Market Garden Start up Guide:</t>
  </si>
  <si>
    <t>[-----9ft-----]</t>
  </si>
  <si>
    <t>drip tape</t>
  </si>
  <si>
    <t>flex hose</t>
  </si>
  <si>
    <t>Annual rotation direction</t>
  </si>
  <si>
    <t>rows</t>
  </si>
  <si>
    <t>Used Tractor resource:</t>
  </si>
  <si>
    <t>Parsnips</t>
  </si>
  <si>
    <t>http://www.lsuagcenter.com/en/lawn_garden/home_gardening/vegetables/Expected+Vegetable+Garden+Yields.htm</t>
  </si>
  <si>
    <t>Total Start up cost</t>
  </si>
  <si>
    <t>http://www.ers.usda.gov/media/935958/ah697_002.pdf</t>
  </si>
  <si>
    <t>Annual Depreciation Cost</t>
  </si>
  <si>
    <t>Peas, Southern</t>
  </si>
  <si>
    <t>Section A,2</t>
  </si>
  <si>
    <t>Section A,1</t>
  </si>
  <si>
    <t>Section D,1</t>
  </si>
  <si>
    <t>Section D,2</t>
  </si>
  <si>
    <t>B,</t>
  </si>
  <si>
    <t>C,</t>
  </si>
  <si>
    <t>Peppers, Sweet</t>
  </si>
  <si>
    <t>Peppers, Green</t>
  </si>
  <si>
    <t>Pumpkins</t>
  </si>
  <si>
    <t>Radishes**</t>
  </si>
  <si>
    <t>Squash, summer</t>
  </si>
  <si>
    <t>Squash, winter</t>
  </si>
  <si>
    <t>Tomatoes</t>
  </si>
  <si>
    <t>Turnip, greens</t>
  </si>
  <si>
    <t>Turnip, roots</t>
  </si>
  <si>
    <t>Watermelon**</t>
  </si>
  <si>
    <t>Onions (dry)</t>
  </si>
  <si>
    <t>Field Layout</t>
  </si>
  <si>
    <t>GPM/ acre</t>
  </si>
  <si>
    <t>Size of Field (acres)</t>
  </si>
  <si>
    <t>Feet of row/acre</t>
  </si>
  <si>
    <t>Number of rows per acre</t>
  </si>
  <si>
    <t>Price Information</t>
  </si>
  <si>
    <t>Item</t>
  </si>
  <si>
    <t>Description</t>
  </si>
  <si>
    <t>Feet per Roll</t>
  </si>
  <si>
    <t>Price per Roll</t>
  </si>
  <si>
    <t>Roll of Drip Tape</t>
  </si>
  <si>
    <t>8 mil</t>
  </si>
  <si>
    <t>4"</t>
  </si>
  <si>
    <t>Fixed Costs</t>
  </si>
  <si>
    <t>Input/Item</t>
  </si>
  <si>
    <t>Cost/Unit</t>
  </si>
  <si>
    <t>Quantity</t>
  </si>
  <si>
    <t>Useful Life (years)</t>
  </si>
  <si>
    <t>Total Annual Cost</t>
  </si>
  <si>
    <t>Annual Cost per Acre</t>
  </si>
  <si>
    <t>Drip Tape</t>
  </si>
  <si>
    <t>foot</t>
  </si>
  <si>
    <t>Tube Fittings</t>
  </si>
  <si>
    <t>piece</t>
  </si>
  <si>
    <t>Manifold (Valves, filter, etc.)</t>
  </si>
  <si>
    <t>Installation Labor</t>
  </si>
  <si>
    <t>hour</t>
  </si>
  <si>
    <t>Totals</t>
  </si>
  <si>
    <t>Annual Operating Costs</t>
  </si>
  <si>
    <t>Price/gallon</t>
  </si>
  <si>
    <t>Inches of Irrigation Applied per Acre per Year</t>
  </si>
  <si>
    <t>Cost per Acre per Year</t>
  </si>
  <si>
    <t>Fuel</t>
  </si>
  <si>
    <t>Price/hour</t>
  </si>
  <si>
    <t>Hours/Year</t>
  </si>
  <si>
    <t>Operating Labor</t>
  </si>
  <si>
    <t>Per Acre</t>
  </si>
  <si>
    <t>Per Acre Inch</t>
  </si>
  <si>
    <t>Annual Fixed Costs</t>
  </si>
  <si>
    <t>Hours to Apply 0.25 Inch</t>
  </si>
  <si>
    <t>Pump Fuel Use Rate (gal. H2O pumped per gal. fuel)</t>
  </si>
  <si>
    <t>Gallons of H2O Applied per Year</t>
  </si>
  <si>
    <t xml:space="preserve">http://www.amazon.com/gp/product/0865717656/ref=as_li_qf_sp_asin_il_tl?ie=UTF8&amp;camp=1789&amp;creative=9325&amp;creativeASIN=0865717656&amp;linkCode=as2&amp;tag=permacuappret-20&amp;linkId=XPT4XD3XSKOATXAS </t>
  </si>
  <si>
    <t xml:space="preserve">http://douglas.uwex.edu/files/2010/05/Market-Gardening-Getting-Started-ATTRA.pdf </t>
  </si>
  <si>
    <t xml:space="preserve">http://www.dripworks.com/product/KDT3 </t>
  </si>
  <si>
    <t>Variable Cost/Acre</t>
  </si>
  <si>
    <t>Useful Life</t>
  </si>
  <si>
    <t>harvest</t>
  </si>
  <si>
    <t>maintain</t>
  </si>
  <si>
    <t>wash/pack</t>
  </si>
  <si>
    <t>Land Rent</t>
  </si>
  <si>
    <t>per fruit</t>
  </si>
  <si>
    <t>Per bunch</t>
  </si>
  <si>
    <t>per head</t>
  </si>
  <si>
    <t>Crop Type</t>
  </si>
  <si>
    <t>Early Season</t>
  </si>
  <si>
    <t>Late Season</t>
  </si>
  <si>
    <t>Rows</t>
  </si>
  <si>
    <t>Mid Season</t>
  </si>
  <si>
    <t>http://www.roxburyfarm.com/</t>
  </si>
  <si>
    <t>http://www.ncagr.gov/markets/mktnews/retail_farmers_markets_reports.htm</t>
  </si>
  <si>
    <t>Farmers Market Prices:</t>
  </si>
  <si>
    <t>South Urban Grocery Prices:</t>
  </si>
  <si>
    <t>http://www.bls.gov/regions/mid-atlantic/data/averageretailfoodandenergyprices_usandsouth_table.htm</t>
  </si>
  <si>
    <t xml:space="preserve"> 30% of Production</t>
  </si>
  <si>
    <t>50% of production</t>
  </si>
  <si>
    <t>75% of production</t>
  </si>
  <si>
    <t>100% production</t>
  </si>
  <si>
    <t>*Time to get your product to the consumer(marketing) is not included in this labor estimate</t>
  </si>
  <si>
    <t>Estimated prices from Johnny seeds:</t>
  </si>
  <si>
    <t>http://www.johnnyseeds.com/</t>
  </si>
  <si>
    <t>hours</t>
  </si>
  <si>
    <t>Receipts/Acre</t>
  </si>
  <si>
    <t>Total Season Yield</t>
  </si>
  <si>
    <t>Total Receipts</t>
  </si>
  <si>
    <t>Rakes, shovels, wheel barrow, etc..</t>
  </si>
  <si>
    <t>Use these resource below to develop your own budget</t>
  </si>
  <si>
    <t xml:space="preserve">The Market Gardener: A Successful Grower's Handbook </t>
  </si>
  <si>
    <t>Spinach</t>
  </si>
  <si>
    <t>Expected yields from LSU</t>
  </si>
  <si>
    <t>Average Weight Guide</t>
  </si>
  <si>
    <t>**Prices and yields can be based on other other factors and not pounds, see notes right of the table for each row</t>
  </si>
  <si>
    <t>***Estimated Retail Price per lb./head/ear/ fruit/stalk</t>
  </si>
  <si>
    <t>Cabbage, Chinese**</t>
  </si>
  <si>
    <t>Kohlrabi</t>
  </si>
  <si>
    <t>Peas, English</t>
  </si>
  <si>
    <t>Section D, 2: Cabbage, Broccoli, Cauliflower, Brussel Sprouts, Radishes</t>
  </si>
  <si>
    <t>[---------------------------------------------100 ft.----------------------------------------------]</t>
  </si>
  <si>
    <t>Section A, 2: Carrots, Celery, parsnips, parsley, dill, cilantro</t>
  </si>
  <si>
    <t>Section B,1: Beets, Chard, Spinach</t>
  </si>
  <si>
    <t>Irrigation line</t>
  </si>
  <si>
    <t>Calculations Based on Tape Flow Rate</t>
  </si>
  <si>
    <t>Tape Flow Rate (gym/100 ft.)</t>
  </si>
  <si>
    <t>Distance Between Row Centers (ft.)</t>
  </si>
  <si>
    <t>Average Row Length (ft.)</t>
  </si>
  <si>
    <t>Roll of Lay flat</t>
  </si>
  <si>
    <t>Lay flat Supply Tube</t>
  </si>
  <si>
    <t>Transplant starter house</t>
  </si>
  <si>
    <t>Benches and soil block tools</t>
  </si>
  <si>
    <t>annual</t>
  </si>
  <si>
    <t>Electric Fencing (deer fence)</t>
  </si>
  <si>
    <t>Crop Labor Estimates per Row</t>
  </si>
  <si>
    <t>Cold Room (converted shed)</t>
  </si>
  <si>
    <t>Row Covers, insect netting, hoops</t>
  </si>
  <si>
    <t>***Use the Price sheet to estimate what price you will sell for at the market</t>
  </si>
  <si>
    <t>Beans, pole</t>
  </si>
  <si>
    <t>Beans, bush</t>
  </si>
  <si>
    <t>Your seed cost per row</t>
  </si>
  <si>
    <t>*Flowering crops are assumed transplanted, all other crops are sown by seed</t>
  </si>
  <si>
    <t>* All plants listed on this sheet are presumed to be transplanted from a starter house</t>
  </si>
  <si>
    <t>Seeds per 100ft</t>
  </si>
  <si>
    <t>SEED SPAICING CALCULATOR</t>
  </si>
  <si>
    <t>Seed Count</t>
  </si>
  <si>
    <t># Seeds Recommended @ each planting</t>
  </si>
  <si>
    <t>SEEDS PER LB. CALCULATOR</t>
  </si>
  <si>
    <t>Lettuce</t>
  </si>
  <si>
    <t>southern peas</t>
  </si>
  <si>
    <t>Potatoes</t>
  </si>
  <si>
    <t>sweet potatoes</t>
  </si>
  <si>
    <t>Turnips</t>
  </si>
  <si>
    <t>Lettuce leaf</t>
  </si>
  <si>
    <t>https://njaes.rutgers.edu/pubs/urbanfringe/pdfs/urbanfringe-v07n01.pdf</t>
  </si>
  <si>
    <t>http://www.johnnyseeds.com/assets/information/direct_seeded_vegetable_crops_calculation_yield_charts.pdf</t>
  </si>
  <si>
    <t>Johnny Seed Yeilds</t>
  </si>
  <si>
    <t>Rutgers Yeilds</t>
  </si>
  <si>
    <t>http://edgecombe.ces.ncsu.edu/files/library/33/production%20data%20table%20edit[1].pdf</t>
  </si>
  <si>
    <t>Rows Planted per 3' bed</t>
  </si>
  <si>
    <t>estimated gross sales per bed for one crop</t>
  </si>
  <si>
    <t>Number of rows per bed</t>
  </si>
  <si>
    <t>Seed Cost Per Bed</t>
  </si>
  <si>
    <t>Seed Cost per Bed</t>
  </si>
  <si>
    <t>Your Total Seed Cost Per Crop</t>
  </si>
  <si>
    <t>Total Seed Cost Per Crop</t>
  </si>
  <si>
    <t># of Beds Planted during the year</t>
  </si>
  <si>
    <t>Kale</t>
  </si>
  <si>
    <t>Seeded Crops (beans, brassicas, and roots)</t>
  </si>
  <si>
    <t>prep/seed/plant</t>
  </si>
  <si>
    <t>Labor standards for commercial growers:</t>
  </si>
  <si>
    <t>*Estimates are based on conversations with growers, each grower should take time samples to determine their own labor estimates</t>
  </si>
  <si>
    <t>*Estimates are based on labor investments from transplanting/seeding to wash and pack on a per row basis</t>
  </si>
  <si>
    <t>*We assume growers are following johny seed instructions for care</t>
  </si>
  <si>
    <t>Estimate your labor per 100ft row here</t>
  </si>
  <si>
    <t>*Seeded Crops: we assume that seeded crops will take a fair amount of bed prep, thinning, and weeding comparable to leafy greens but less time for harvest wash and pack</t>
  </si>
  <si>
    <t>hours/day at 5 day work week</t>
  </si>
  <si>
    <t>*Transplants per 1000 presumes some losses based on germination rate and disease based on Jonny Seeds estimates</t>
  </si>
  <si>
    <t>Inches Spacing between Rows</t>
  </si>
  <si>
    <t>Inches Spacing in row</t>
  </si>
  <si>
    <t>Used Truck for Farm</t>
  </si>
  <si>
    <t>Used Tiller + Accessories</t>
  </si>
  <si>
    <t>Drip Irrigation System (well present)</t>
  </si>
  <si>
    <t>Investment Payback</t>
  </si>
  <si>
    <t>*We assume rows can be planted with staggered spacing to get more plants in on a 3ft bed, we assume a 2ft space between rows for walking and working</t>
  </si>
  <si>
    <t>Sows how many Feet in row</t>
  </si>
  <si>
    <t>Seeds Needed per row</t>
  </si>
  <si>
    <t>Carrots, Celery, parsnips, parsley, dill, cilantro</t>
  </si>
  <si>
    <t>, Radishes, Turnips, Kale, Asian greens, Arugula</t>
  </si>
  <si>
    <t>Section D, 2 and D, 1: Cabbage, Broccoli, Cauliflower, Brussel Sprouts</t>
  </si>
  <si>
    <t>Plant anywhere: Lettuce, Endive, Sunflowers, Snow and snap peas</t>
  </si>
  <si>
    <t>Section C,1 and C,2: Tomatoes, peppers, eggplant</t>
  </si>
  <si>
    <t>, green and dry beans, Beets, Chard, Spinach</t>
  </si>
  <si>
    <t>Section A,1 and A,2: Green and bulb onions, garlic, shallots Leaks</t>
  </si>
  <si>
    <t>Section B,1 and B,2: Cucumbers, Summer Squash, Winter Squash, okra</t>
  </si>
  <si>
    <t>USE THIS SHEET TO ESTIMATE YOUR LABOR OR USE NUMBERS ALREADY ENTERED</t>
  </si>
  <si>
    <t>USE THIS SHEET IN CONJUCTION WITH JOHNNY SEEDS TO FILL IN THE VALUES FOR THE VARIETIES YOU LIKE OR USE THE NUMBERS PROVIDED</t>
  </si>
  <si>
    <t>use this sheet to estimate how many beds of each crop you will plant during the year</t>
  </si>
  <si>
    <t>NCSU Extension Yields</t>
  </si>
  <si>
    <t>*Modified from University of Delaware: http://extension.udel.edu/ag/vegetable-fruit-resources/vegetable-small-fruits-program/research-reports-fact-sheets/vegetable-crop-budgets-irrigation-cost-calculators/</t>
  </si>
  <si>
    <t>Average Market Price per lbs.</t>
  </si>
  <si>
    <t>lbs.</t>
  </si>
  <si>
    <t>*Leafy Greens: we assume that leafy greens are planted according to johhny seed directions and that bed preparation, thinning, harvest and wash are more time consuming than the other crops</t>
  </si>
  <si>
    <t>*Transplanted Crops: we assume transplanting includes making soil bricks, seeding, thinning, moving up to larger soil brick, fertilization, watering, and pest control all by hand for the number of plants transplanted to each row- we assume planting time is much lower and that maintenance time will include pest control by organic standards</t>
  </si>
  <si>
    <t>Returns on Investment</t>
  </si>
  <si>
    <t>Market Garden Enterprise Budget 1 acre, 100ft rows</t>
  </si>
  <si>
    <t>*Time value of money is not considered, all investments are considered cash investments from savings</t>
  </si>
  <si>
    <t>Total gross sales per crop early season</t>
  </si>
  <si>
    <t>Total gross sales per crop mid season</t>
  </si>
  <si>
    <t>Total gross sales per crop late season</t>
  </si>
  <si>
    <t>*Enter the yeild per row that sold at the market</t>
  </si>
  <si>
    <t>Net Income for each crop</t>
  </si>
  <si>
    <t>Decide your # of beds  per crop using the garden space planner sheet</t>
  </si>
  <si>
    <t>Enter the seeds per oz. below</t>
  </si>
  <si>
    <t>Enter the Crop name</t>
  </si>
  <si>
    <t>Equipment and Tools Cost</t>
  </si>
  <si>
    <t>Fixed Cost</t>
  </si>
  <si>
    <t>Amount</t>
  </si>
  <si>
    <t>$/acre</t>
  </si>
  <si>
    <t>*Transplant Seed Cost</t>
  </si>
  <si>
    <t>*Direct Seed Cost</t>
  </si>
  <si>
    <t>Net Returns</t>
  </si>
  <si>
    <t>row feet</t>
  </si>
  <si>
    <t>Potatoes, Sweet</t>
  </si>
  <si>
    <t>Potatoes, Irish</t>
  </si>
  <si>
    <t>Farm Truck Annual Millage</t>
  </si>
  <si>
    <t>Potting/Transplant Soil</t>
  </si>
  <si>
    <t>Compost Applied</t>
  </si>
  <si>
    <t>3Cu YD bags</t>
  </si>
  <si>
    <t>Total Annual Labor Hours</t>
  </si>
  <si>
    <t>Per Row Total</t>
  </si>
  <si>
    <t>by Crop Type</t>
  </si>
  <si>
    <t>Total by Season</t>
  </si>
  <si>
    <t>Total Labor</t>
  </si>
  <si>
    <t>TOTAL</t>
  </si>
  <si>
    <t>Estimated Labor Cost at</t>
  </si>
  <si>
    <t>https://content.ces.ncsu.edu/nutrient-removal-by-crops-in-north-carolina</t>
  </si>
  <si>
    <t>YDS</t>
  </si>
  <si>
    <t># YDS of Compost</t>
  </si>
  <si>
    <t>Cover Crop, Rye</t>
  </si>
  <si>
    <t>Hand Operated Seeder</t>
  </si>
  <si>
    <t>Multy Purpose Trellis, T-post+Woven Wire</t>
  </si>
  <si>
    <t>Annual Cost</t>
  </si>
  <si>
    <t>MPG</t>
  </si>
  <si>
    <t>Fuel Cost</t>
  </si>
  <si>
    <t>time starting transplants</t>
  </si>
  <si>
    <t>Transplanted Crops (flowering fruiting crops)</t>
  </si>
  <si>
    <t>Leafy Greens (more harvest and wash labor)</t>
  </si>
  <si>
    <t>Hours Marketing</t>
  </si>
  <si>
    <t>CSA Hours, delivery/pickup day</t>
  </si>
  <si>
    <t>*YEILD is one of the most important considerations of your operation, yeilds values on this sheet are the amount that gets sold at the market which is typically 80% of actual yeild</t>
  </si>
  <si>
    <t>Handwash Station</t>
  </si>
  <si>
    <t>Portable Toilet Service</t>
  </si>
  <si>
    <t>Monthly</t>
  </si>
  <si>
    <t>transplant cost sheet</t>
  </si>
  <si>
    <t>direct seed cost sheet</t>
  </si>
  <si>
    <t>Lime, Applied(pro-rated)</t>
  </si>
  <si>
    <t>per ton spread</t>
  </si>
  <si>
    <t>for disease, weed, and insect issues see: http://www.thepacker.com/sites/produce/files/SEVegGuide_2016.pdf</t>
  </si>
  <si>
    <t>Fertigation Unit</t>
  </si>
  <si>
    <t>Fertigation Unit: bypass and tank</t>
  </si>
  <si>
    <t>Soluble Fertilizer, 15-5-15</t>
  </si>
  <si>
    <t>spinosad</t>
  </si>
  <si>
    <t>imidacloprid</t>
  </si>
  <si>
    <t>acetamiprid</t>
  </si>
  <si>
    <t>abamectin</t>
  </si>
  <si>
    <t>spinetoram</t>
  </si>
  <si>
    <t>Insect Control</t>
  </si>
  <si>
    <t>Disease Control</t>
  </si>
  <si>
    <t>Weed Control</t>
  </si>
  <si>
    <t>Price</t>
  </si>
  <si>
    <t>OZ</t>
  </si>
  <si>
    <t>b-cyfluthrin</t>
  </si>
  <si>
    <t>Conserve SC</t>
  </si>
  <si>
    <t>Admire Pro</t>
  </si>
  <si>
    <t>$ per container</t>
  </si>
  <si>
    <t>Tempo SC Ultra</t>
  </si>
  <si>
    <t xml:space="preserve">Assail </t>
  </si>
  <si>
    <t>Avid</t>
  </si>
  <si>
    <t>Radiant</t>
  </si>
  <si>
    <t>Trade Name</t>
  </si>
  <si>
    <t>Active Ingredient</t>
  </si>
  <si>
    <t>Post Harvest Clean up</t>
  </si>
  <si>
    <t>Quadris</t>
  </si>
  <si>
    <t>Azoxystrobin</t>
  </si>
  <si>
    <t>Bravo</t>
  </si>
  <si>
    <t>Chlorothalonil</t>
  </si>
  <si>
    <t>Subdue Maxx</t>
  </si>
  <si>
    <t>Mefonoxam</t>
  </si>
  <si>
    <t>glyhposate</t>
  </si>
  <si>
    <t>s-metolachlor</t>
  </si>
  <si>
    <t>pendamethalin</t>
  </si>
  <si>
    <t>Sedge-Hammer</t>
  </si>
  <si>
    <t>Round-up</t>
  </si>
  <si>
    <t>halosulfuron-methyl</t>
  </si>
  <si>
    <t>Dual Magnum</t>
  </si>
  <si>
    <t>Prowl H2O</t>
  </si>
  <si>
    <t>Reflex</t>
  </si>
  <si>
    <t>fomesafen</t>
  </si>
  <si>
    <t>Fungus Controlled for: Rhizoctonia, Sclerotinia, Pythium, Downy Mildew, Powdery Mildew</t>
  </si>
  <si>
    <t>for labeled rates in NC see: https://content.ces.ncsu.edu/north-carolina-agricultural-chemicals-manual</t>
  </si>
  <si>
    <t>Conventional Pest Control Budget</t>
  </si>
  <si>
    <t>Organic Pest Control Budget</t>
  </si>
  <si>
    <t>BT</t>
  </si>
  <si>
    <t>Sulfur</t>
  </si>
  <si>
    <t>Entrust</t>
  </si>
  <si>
    <t>bacillus thurengensis</t>
  </si>
  <si>
    <t>LBS</t>
  </si>
  <si>
    <t>Units in Container</t>
  </si>
  <si>
    <t>$ per Unit</t>
  </si>
  <si>
    <t>Sulfur, 90% WP</t>
  </si>
  <si>
    <t>Copper hydroxide</t>
  </si>
  <si>
    <t>Copper WG 77%</t>
  </si>
  <si>
    <t>Pest Control Sheet</t>
  </si>
  <si>
    <t>Hrs. to + at Market for Market Day</t>
  </si>
  <si>
    <t>% of field work performed by owner</t>
  </si>
  <si>
    <t>hourly rate paid for all labor in budget</t>
  </si>
  <si>
    <t>pyrethrum</t>
  </si>
  <si>
    <t>pyrethrins</t>
  </si>
  <si>
    <t>neem Oil</t>
  </si>
  <si>
    <t>hort Oil</t>
  </si>
  <si>
    <t>insecticidal soap</t>
  </si>
  <si>
    <t>Other Products</t>
  </si>
  <si>
    <t>Seasonal Application Cost</t>
  </si>
  <si>
    <t>Year 1</t>
  </si>
  <si>
    <t>Year 2</t>
  </si>
  <si>
    <t>Year 3</t>
  </si>
  <si>
    <t>Year 4</t>
  </si>
  <si>
    <t>Year 5</t>
  </si>
  <si>
    <t>Year 6</t>
  </si>
  <si>
    <t>*Nutrient Removal Rates of Vegetables</t>
  </si>
  <si>
    <t xml:space="preserve">USE THIS SHEET TO ESTIMATE YOUR START UP COST </t>
  </si>
  <si>
    <t>*Estimate your retail price per lbs./head/ear/ fruit/stalk</t>
  </si>
  <si>
    <t># of rows with plastic</t>
  </si>
  <si>
    <t>Annual days at Market</t>
  </si>
  <si>
    <t>Annual CSA days</t>
  </si>
  <si>
    <t>Irrigation</t>
  </si>
  <si>
    <t>Annual $</t>
  </si>
  <si>
    <t>Irrigation Cost Assumptions</t>
  </si>
  <si>
    <t>Variable Cost</t>
  </si>
  <si>
    <t>Inches of irrigation is an average assumption based on average irrigation needs in North Carolina to learn more about how to calculate your farms irrigation needs visit: https://www.bae.ncsu.edu/topic/irrigation_society/info/NC_Irrigation_Guide_Apr_2010.pdf</t>
  </si>
  <si>
    <t>*Marketing Hours assumes 100% owner labor</t>
  </si>
  <si>
    <t>*There is no labor or machine cost associated with these numbers, use the labor sheet under maintenance to include hours mixing, loading, and spraying. The sprayer you use should be included in the market garden startup cost sheet.</t>
  </si>
  <si>
    <t>Use grey cells throughout the budget to enter your values</t>
  </si>
  <si>
    <t>Conventional Pest Control</t>
  </si>
  <si>
    <t>Organic Pest Control</t>
  </si>
  <si>
    <t>*NC Farm School does not endorse any one production method but encourages the use of best management practices for all crops as a risk management strategy</t>
  </si>
  <si>
    <t>*The values entered assume a local market price relative to NC farmers markets</t>
  </si>
  <si>
    <t>Vegetable Family Guide</t>
  </si>
  <si>
    <t>*This item is installed annually with plastic in row and can be found on the Market Garden Budget Sheet because it is a variable cost of production</t>
  </si>
  <si>
    <t>*Irrigation Fuel/Labor Cost</t>
  </si>
  <si>
    <t>total cost</t>
  </si>
  <si>
    <t>*Pump</t>
  </si>
  <si>
    <t>*NOTE: For our purposes we did not include a pump because it is assumed a part of the well pre-existing on the property, if you include a motorized pump be sure to use the labor and fuel portions below to estimate time spent keeping the motorized pump in working order.</t>
  </si>
  <si>
    <t>*Useful life refers to the length of time that equipment can be used for needing total replacement</t>
  </si>
  <si>
    <t>Total Annual cost of Plasticulture</t>
  </si>
  <si>
    <t>Annual Cost, Compost</t>
  </si>
  <si>
    <t>return to budget page</t>
  </si>
  <si>
    <t>bunches per 100 ft.</t>
  </si>
  <si>
    <t>fruit per 100ft</t>
  </si>
  <si>
    <t>heads per 100 ft.</t>
  </si>
  <si>
    <t>heads per 100 feet</t>
  </si>
  <si>
    <t>use this sheet to estimate how many beds of each crop you will plant during the early part of the season</t>
  </si>
  <si>
    <t>Labor Estimator</t>
  </si>
  <si>
    <t>NOTE: Use the number of applications to select your method of pest control, or apply some combination</t>
  </si>
  <si>
    <t>Start Up Cost and Depreciation</t>
  </si>
  <si>
    <t>USE THIS SHEET TO ENTER YOUR AVERAGE MARKET PRICE</t>
  </si>
  <si>
    <t>Crop Pricing Sheet</t>
  </si>
  <si>
    <t>Transplant Cost Estimation Sheet</t>
  </si>
  <si>
    <t>Direct Seeded Cost Sheet</t>
  </si>
  <si>
    <t>*All plants listed on this sheet are presumed to be started from seed directly in the seed bed and include: leaf crops, brassicas, and bean crops</t>
  </si>
  <si>
    <t>Between Row Spacing in inches</t>
  </si>
  <si>
    <t>Late Season Crops</t>
  </si>
  <si>
    <t>Mid Season Crops</t>
  </si>
  <si>
    <t>Early Season Crops</t>
  </si>
  <si>
    <t>Owner Labor Portion</t>
  </si>
  <si>
    <t>Labor Paid, Hired Workers</t>
  </si>
  <si>
    <t>$ per day</t>
  </si>
  <si>
    <t>Spot at Local Market</t>
  </si>
  <si>
    <t xml:space="preserve">Market Labor Cost </t>
  </si>
  <si>
    <t>Equip. &amp; Truck Maint.</t>
  </si>
  <si>
    <t>Hired Labor</t>
  </si>
  <si>
    <t>Application Rate</t>
  </si>
  <si>
    <t>Use the number of applications to select your method and total cost of your farms pest control</t>
  </si>
  <si>
    <t>CONVENTIONAL INSECT CONTROL PRODUCT PRICE LIST</t>
  </si>
  <si>
    <t>ORGANIC INSECT CONTROL PRODUCT PRICE LIST</t>
  </si>
  <si>
    <t>CONVENTIONAL DISEASE CONTROL PRICE LIST</t>
  </si>
  <si>
    <t>ORGANIC DISEASE CONTROL PRICE LIST</t>
  </si>
  <si>
    <t>CONVENTIONAL WEED CONTROL PRICE LIST</t>
  </si>
  <si>
    <t>OTHER ORGANIC PLANT HEALTH PRODUCTS</t>
  </si>
  <si>
    <t>*To change receipt values use the early season, mid season, and late season crop sheets to plan how many rows of each crop you will plant during along with the yield estimates or your values for each crop; then use the sales price sheet to select a market value for each crop.</t>
  </si>
  <si>
    <t>Granular Fertilizer, 20-10-20</t>
  </si>
  <si>
    <t>Custom Plastic Laid</t>
  </si>
  <si>
    <t>Equipment/Vehicle Annual Maint.</t>
  </si>
  <si>
    <t>*TOTAL hours of Labor is the time directly spent in the field with starting transplants, transplanting, fertilizing, prepping beds, spraying, weeding, watering, pruning, training plants, harvesting, washing, packing, and any other activities that are associated with producing the crop. This does not include office work, planning, time to market, delivery, or time at the market. Irrigation labor should only go on this sheet if it is maintenance and repairs during the season.</t>
  </si>
  <si>
    <t>Cost to purchase all products for inventory:</t>
  </si>
  <si>
    <t># Applications</t>
  </si>
  <si>
    <t>Insects Controlled for: Thrips, Aphids, Caterpillars &amp; Worms, Mites, Whiteflies, Beetles, Borers, Squash Bugs</t>
  </si>
  <si>
    <t>Weed Controlled for: see individual labels for application directions- nutsedge, grasses, and broadleaf weeds</t>
  </si>
  <si>
    <t>potassium salts, fatty acid</t>
  </si>
  <si>
    <t>petroleum Oil</t>
  </si>
  <si>
    <t>Transplants per 1000 seed</t>
  </si>
  <si>
    <t>Seed price per 1000 or per lb. on Johnny seeds</t>
  </si>
  <si>
    <t>Transplants or Seeds Needed per 100 ft.</t>
  </si>
  <si>
    <t>*Varieties chosen were based on disease resistance to southern climate, marketability, and cost considerations at the choice of the budget builder, this sheet is set up so you can pick your varieties if you choose</t>
  </si>
  <si>
    <t>*plants needed per 100 ft. assumes you are following the directions from Johnny seeds under DIRECT SEEDING</t>
  </si>
  <si>
    <t>Inches spacing recommendation</t>
  </si>
  <si>
    <t>Seeds per lb.</t>
  </si>
  <si>
    <t>Seed price per 1000 OR per lb. on Johnny seeds</t>
  </si>
  <si>
    <t>weeks in the season</t>
  </si>
  <si>
    <t>Weeks of Labor in Season</t>
  </si>
  <si>
    <t>This sheet shows one example of a rotation plan</t>
  </si>
  <si>
    <t>Developed by Derek Washburn, Department of Agricultural Resource and Economics, NC State University</t>
  </si>
  <si>
    <t>Edited by Gary Bullen, Department of Agricultural Resource and Economics, NC State University</t>
  </si>
  <si>
    <t>Please provide feedback about this budget and report errors to ncfarmschool@ncsu.edu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</si>
</sst>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164" formatCode="&quot;$&quot;#,##0.00"/>
    <numFmt numFmtId="165" formatCode="0.0"/>
    <numFmt numFmtId="166" formatCode="&quot;$&quot;#,##0.00;[Red]&quot;$&quot;#,##0.00"/>
    <numFmt numFmtId="167" formatCode="0.0000"/>
  </numFmts>
  <fonts count="53">
    <font>
      <sz val="11"/>
      <color theme="1"/>
      <name val="Calibri"/>
      <family val="2"/>
      <scheme val="minor"/>
    </font>
    <font>
      <b/>
      <sz val="11"/>
      <color theme="1"/>
      <name val="Calibri"/>
      <family val="2"/>
      <scheme val="minor"/>
    </font>
    <font>
      <u/>
      <sz val="11"/>
      <color theme="10"/>
      <name val="Calibri"/>
      <family val="2"/>
      <scheme val="minor"/>
    </font>
    <font>
      <b/>
      <sz val="11"/>
      <color rgb="FF333333"/>
      <name val="Arial"/>
      <family val="2"/>
    </font>
    <font>
      <sz val="11"/>
      <color rgb="FF333333"/>
      <name val="Arial"/>
      <family val="2"/>
    </font>
    <font>
      <b/>
      <sz val="11"/>
      <color indexed="8"/>
      <name val="Helvetica Neue"/>
    </font>
    <font>
      <sz val="10"/>
      <color indexed="8"/>
      <name val="Helvetica Neue"/>
    </font>
    <font>
      <sz val="36"/>
      <color indexed="8"/>
      <name val="Helvetica Neue"/>
    </font>
    <font>
      <sz val="11"/>
      <color theme="1"/>
      <name val="Calibri"/>
      <family val="2"/>
      <scheme val="minor"/>
    </font>
    <font>
      <b/>
      <sz val="11"/>
      <name val="Calibri"/>
      <family val="2"/>
      <scheme val="minor"/>
    </font>
    <font>
      <b/>
      <sz val="11"/>
      <color indexed="8"/>
      <name val="Calibri"/>
      <family val="2"/>
      <scheme val="minor"/>
    </font>
    <font>
      <b/>
      <sz val="10"/>
      <color rgb="FFC00000"/>
      <name val="Arial"/>
      <family val="2"/>
    </font>
    <font>
      <b/>
      <sz val="16"/>
      <color rgb="FF222222"/>
      <name val="Arial"/>
      <family val="2"/>
    </font>
    <font>
      <b/>
      <sz val="18"/>
      <color rgb="FF222222"/>
      <name val="Arial"/>
      <family val="2"/>
    </font>
    <font>
      <b/>
      <sz val="20"/>
      <color theme="1"/>
      <name val="Calibri"/>
      <family val="2"/>
      <scheme val="minor"/>
    </font>
    <font>
      <sz val="11"/>
      <color theme="1"/>
      <name val="Arial"/>
      <family val="2"/>
    </font>
    <font>
      <b/>
      <sz val="18"/>
      <color theme="1"/>
      <name val="Arial"/>
      <family val="2"/>
    </font>
    <font>
      <sz val="18"/>
      <color theme="1"/>
      <name val="Arial"/>
      <family val="2"/>
    </font>
    <font>
      <sz val="14"/>
      <color theme="1"/>
      <name val="Arial"/>
      <family val="2"/>
    </font>
    <font>
      <b/>
      <sz val="12"/>
      <color theme="1"/>
      <name val="Arial"/>
      <family val="2"/>
    </font>
    <font>
      <b/>
      <sz val="11"/>
      <color theme="1"/>
      <name val="Arial"/>
      <family val="2"/>
    </font>
    <font>
      <u/>
      <sz val="14"/>
      <color theme="10"/>
      <name val="Arial"/>
      <family val="2"/>
    </font>
    <font>
      <vertAlign val="superscript"/>
      <sz val="9"/>
      <color theme="1"/>
      <name val="Arial"/>
      <family val="2"/>
    </font>
    <font>
      <sz val="14"/>
      <name val="Arial"/>
      <family val="2"/>
    </font>
    <font>
      <b/>
      <sz val="14"/>
      <color theme="1"/>
      <name val="Arial"/>
      <family val="2"/>
    </font>
    <font>
      <sz val="12"/>
      <color theme="1"/>
      <name val="Arial"/>
      <family val="2"/>
    </font>
    <font>
      <b/>
      <sz val="16"/>
      <color theme="1"/>
      <name val="Arial"/>
      <family val="2"/>
    </font>
    <font>
      <sz val="16"/>
      <color theme="1"/>
      <name val="Arial"/>
      <family val="2"/>
    </font>
    <font>
      <u/>
      <sz val="11"/>
      <color theme="10"/>
      <name val="Arial"/>
      <family val="2"/>
    </font>
    <font>
      <b/>
      <sz val="22"/>
      <color theme="1"/>
      <name val="Arial"/>
      <family val="2"/>
    </font>
    <font>
      <b/>
      <sz val="14"/>
      <name val="Arial"/>
      <family val="2"/>
    </font>
    <font>
      <b/>
      <sz val="14"/>
      <color rgb="FF222222"/>
      <name val="Arial"/>
      <family val="2"/>
    </font>
    <font>
      <sz val="14"/>
      <color rgb="FF222222"/>
      <name val="Arial"/>
      <family val="2"/>
    </font>
    <font>
      <sz val="10"/>
      <color theme="1"/>
      <name val="Arial"/>
      <family val="2"/>
    </font>
    <font>
      <b/>
      <sz val="10"/>
      <color theme="1"/>
      <name val="Arial"/>
      <family val="2"/>
    </font>
    <font>
      <b/>
      <sz val="20"/>
      <color theme="1"/>
      <name val="Arial"/>
      <family val="2"/>
    </font>
    <font>
      <sz val="10"/>
      <name val="Arial"/>
      <family val="2"/>
    </font>
    <font>
      <u/>
      <sz val="12"/>
      <color theme="10"/>
      <name val="Arial"/>
      <family val="2"/>
    </font>
    <font>
      <sz val="10"/>
      <color indexed="8"/>
      <name val="Arial"/>
      <family val="2"/>
    </font>
    <font>
      <b/>
      <sz val="22"/>
      <name val="Arial"/>
      <family val="2"/>
    </font>
    <font>
      <b/>
      <sz val="10"/>
      <name val="Arial"/>
      <family val="2"/>
    </font>
    <font>
      <sz val="10"/>
      <color indexed="9"/>
      <name val="Arial"/>
      <family val="2"/>
    </font>
    <font>
      <sz val="12"/>
      <color indexed="8"/>
      <name val="Arial"/>
      <family val="2"/>
    </font>
    <font>
      <sz val="14"/>
      <color indexed="8"/>
      <name val="Arial"/>
      <family val="2"/>
    </font>
    <font>
      <b/>
      <sz val="14"/>
      <color indexed="8"/>
      <name val="Arial"/>
      <family val="2"/>
    </font>
    <font>
      <b/>
      <sz val="16"/>
      <name val="Arial"/>
      <family val="2"/>
    </font>
    <font>
      <b/>
      <sz val="16"/>
      <color indexed="8"/>
      <name val="Arial"/>
      <family val="2"/>
    </font>
    <font>
      <b/>
      <sz val="18"/>
      <name val="Arial"/>
      <family val="2"/>
    </font>
    <font>
      <b/>
      <u/>
      <sz val="16"/>
      <color theme="10"/>
      <name val="Arial"/>
      <family val="2"/>
    </font>
    <font>
      <sz val="12"/>
      <name val="Arial"/>
      <family val="2"/>
    </font>
    <font>
      <b/>
      <sz val="14"/>
      <color rgb="FFC00000"/>
      <name val="Arial"/>
      <family val="2"/>
    </font>
    <font>
      <sz val="9"/>
      <color indexed="81"/>
      <name val="Tahoma"/>
      <family val="2"/>
    </font>
    <font>
      <b/>
      <sz val="9"/>
      <color indexed="81"/>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9F9F9"/>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14996795556505021"/>
        <bgColor indexed="64"/>
      </patternFill>
    </fill>
  </fills>
  <borders count="52">
    <border>
      <left/>
      <right/>
      <top/>
      <bottom/>
      <diagonal/>
    </border>
    <border>
      <left/>
      <right/>
      <top/>
      <bottom style="medium">
        <color indexed="64"/>
      </bottom>
      <diagonal/>
    </border>
    <border>
      <left style="thin">
        <color auto="1"/>
      </left>
      <right style="thin">
        <color auto="1"/>
      </right>
      <top/>
      <bottom/>
      <diagonal/>
    </border>
    <border>
      <left/>
      <right/>
      <top style="medium">
        <color rgb="FFDDDDDD"/>
      </top>
      <bottom/>
      <diagonal/>
    </border>
    <border>
      <left style="medium">
        <color indexed="64"/>
      </left>
      <right/>
      <top style="medium">
        <color indexed="64"/>
      </top>
      <bottom style="thick">
        <color rgb="FFDDDDDD"/>
      </bottom>
      <diagonal/>
    </border>
    <border>
      <left/>
      <right/>
      <top style="medium">
        <color indexed="64"/>
      </top>
      <bottom style="thick">
        <color rgb="FFDDDDDD"/>
      </bottom>
      <diagonal/>
    </border>
    <border>
      <left/>
      <right style="medium">
        <color indexed="64"/>
      </right>
      <top style="medium">
        <color indexed="64"/>
      </top>
      <bottom style="thick">
        <color rgb="FFDDDDDD"/>
      </bottom>
      <diagonal/>
    </border>
    <border>
      <left style="medium">
        <color indexed="64"/>
      </left>
      <right/>
      <top style="medium">
        <color rgb="FFDDDDDD"/>
      </top>
      <bottom/>
      <diagonal/>
    </border>
    <border>
      <left/>
      <right style="medium">
        <color indexed="64"/>
      </right>
      <top style="medium">
        <color rgb="FFDDDDDD"/>
      </top>
      <bottom/>
      <diagonal/>
    </border>
    <border>
      <left style="medium">
        <color indexed="64"/>
      </left>
      <right/>
      <top style="medium">
        <color rgb="FFDDDDDD"/>
      </top>
      <bottom style="medium">
        <color indexed="64"/>
      </bottom>
      <diagonal/>
    </border>
    <border>
      <left/>
      <right/>
      <top style="medium">
        <color rgb="FFDDDDDD"/>
      </top>
      <bottom style="medium">
        <color indexed="64"/>
      </bottom>
      <diagonal/>
    </border>
    <border>
      <left/>
      <right style="medium">
        <color indexed="64"/>
      </right>
      <top style="medium">
        <color rgb="FFDDDDDD"/>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4" fontId="8" fillId="0" borderId="0" applyFont="0" applyFill="0" applyBorder="0" applyAlignment="0" applyProtection="0"/>
  </cellStyleXfs>
  <cellXfs count="626">
    <xf numFmtId="0" fontId="0" fillId="0" borderId="0" xfId="0"/>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top" wrapText="1"/>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4" fillId="4" borderId="7" xfId="0" applyFont="1" applyFill="1" applyBorder="1" applyAlignment="1">
      <alignment horizontal="center" vertical="top" wrapText="1"/>
    </xf>
    <xf numFmtId="0" fontId="4" fillId="4" borderId="8"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4" borderId="9"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4" borderId="11" xfId="0" applyFont="1" applyFill="1" applyBorder="1" applyAlignment="1">
      <alignment horizontal="center" vertical="top" wrapText="1"/>
    </xf>
    <xf numFmtId="0" fontId="0" fillId="2" borderId="0" xfId="0" applyFill="1" applyAlignment="1"/>
    <xf numFmtId="0" fontId="0" fillId="0" borderId="0" xfId="0" applyAlignment="1"/>
    <xf numFmtId="0" fontId="6" fillId="2" borderId="0" xfId="0" applyFont="1" applyFill="1" applyAlignment="1">
      <alignment horizontal="center" vertical="center"/>
    </xf>
    <xf numFmtId="0" fontId="0" fillId="0" borderId="0" xfId="0" applyAlignment="1">
      <alignment horizontal="center"/>
    </xf>
    <xf numFmtId="0" fontId="0" fillId="0" borderId="0" xfId="0" applyBorder="1" applyAlignment="1">
      <alignment horizontal="right"/>
    </xf>
    <xf numFmtId="0" fontId="0" fillId="0" borderId="0" xfId="0" applyAlignment="1">
      <alignment horizontal="left"/>
    </xf>
    <xf numFmtId="0" fontId="0" fillId="2" borderId="0" xfId="0" applyFill="1" applyAlignment="1">
      <alignment horizontal="center"/>
    </xf>
    <xf numFmtId="0" fontId="1" fillId="0" borderId="0" xfId="0" applyFont="1"/>
    <xf numFmtId="0" fontId="1" fillId="0" borderId="0" xfId="0" applyFont="1" applyAlignment="1"/>
    <xf numFmtId="0" fontId="1" fillId="0" borderId="0" xfId="0" applyFont="1" applyAlignment="1">
      <alignment horizontal="right"/>
    </xf>
    <xf numFmtId="0" fontId="1" fillId="0" borderId="0" xfId="0" applyFont="1" applyAlignment="1">
      <alignment horizontal="left"/>
    </xf>
    <xf numFmtId="0" fontId="1" fillId="2" borderId="0" xfId="0" applyFont="1" applyFill="1" applyAlignment="1">
      <alignment horizontal="right"/>
    </xf>
    <xf numFmtId="0" fontId="9" fillId="0" borderId="0" xfId="0" applyFont="1" applyAlignment="1"/>
    <xf numFmtId="0" fontId="1" fillId="2" borderId="0" xfId="0" applyFont="1" applyFill="1" applyAlignment="1"/>
    <xf numFmtId="0" fontId="0" fillId="2" borderId="0" xfId="0" applyFill="1" applyAlignment="1">
      <alignment horizontal="right"/>
    </xf>
    <xf numFmtId="0" fontId="10" fillId="2" borderId="0" xfId="0" applyFont="1" applyFill="1" applyAlignment="1">
      <alignment horizontal="left" vertical="center"/>
    </xf>
    <xf numFmtId="0" fontId="0" fillId="6" borderId="0" xfId="0" applyFill="1"/>
    <xf numFmtId="0" fontId="0" fillId="6" borderId="0" xfId="0" applyFill="1" applyAlignment="1"/>
    <xf numFmtId="0" fontId="0" fillId="5" borderId="0" xfId="0" applyFill="1"/>
    <xf numFmtId="0" fontId="0" fillId="5" borderId="0" xfId="0" applyFill="1" applyAlignment="1"/>
    <xf numFmtId="0" fontId="0" fillId="7" borderId="0" xfId="0" applyFill="1"/>
    <xf numFmtId="0" fontId="0" fillId="7" borderId="0" xfId="0" applyFill="1" applyAlignment="1"/>
    <xf numFmtId="0" fontId="9" fillId="7" borderId="0" xfId="0" applyFont="1" applyFill="1" applyAlignment="1"/>
    <xf numFmtId="0" fontId="1" fillId="8" borderId="0" xfId="0" applyFont="1" applyFill="1" applyAlignment="1"/>
    <xf numFmtId="0" fontId="0" fillId="8" borderId="0" xfId="0" applyFill="1"/>
    <xf numFmtId="0" fontId="0" fillId="8" borderId="0" xfId="0" applyFill="1" applyAlignment="1">
      <alignment horizontal="center"/>
    </xf>
    <xf numFmtId="0" fontId="0" fillId="8" borderId="0" xfId="0" applyFill="1" applyAlignment="1"/>
    <xf numFmtId="0" fontId="0" fillId="6" borderId="0" xfId="0" applyFill="1" applyAlignment="1">
      <alignment horizontal="center"/>
    </xf>
    <xf numFmtId="0" fontId="1" fillId="6" borderId="0" xfId="0" applyFont="1" applyFill="1" applyAlignment="1">
      <alignment horizontal="left"/>
    </xf>
    <xf numFmtId="0" fontId="1" fillId="5" borderId="0" xfId="0" applyFont="1" applyFill="1" applyAlignment="1"/>
    <xf numFmtId="0" fontId="0" fillId="5" borderId="0" xfId="0" applyFill="1" applyBorder="1"/>
    <xf numFmtId="0" fontId="0" fillId="0" borderId="0" xfId="0" applyFill="1"/>
    <xf numFmtId="0" fontId="11" fillId="0" borderId="0" xfId="0" applyFont="1" applyFill="1" applyBorder="1"/>
    <xf numFmtId="0" fontId="0" fillId="7" borderId="0" xfId="0" applyFill="1" applyAlignment="1">
      <alignment horizontal="center"/>
    </xf>
    <xf numFmtId="0" fontId="1" fillId="7" borderId="0" xfId="0" applyFont="1" applyFill="1" applyAlignment="1"/>
    <xf numFmtId="0" fontId="1" fillId="0" borderId="0" xfId="0" applyFont="1" applyFill="1" applyAlignment="1">
      <alignment horizontal="left"/>
    </xf>
    <xf numFmtId="0" fontId="0" fillId="5" borderId="0" xfId="0" applyFill="1" applyAlignment="1">
      <alignment horizontal="center"/>
    </xf>
    <xf numFmtId="0" fontId="15" fillId="0" borderId="0" xfId="0" applyFont="1" applyFill="1" applyBorder="1"/>
    <xf numFmtId="164" fontId="20" fillId="0" borderId="0" xfId="0" applyNumberFormat="1" applyFont="1" applyFill="1" applyBorder="1"/>
    <xf numFmtId="0" fontId="15" fillId="0" borderId="0" xfId="0" applyFont="1"/>
    <xf numFmtId="0" fontId="28" fillId="0" borderId="0" xfId="1" applyFont="1"/>
    <xf numFmtId="2" fontId="20" fillId="0" borderId="0" xfId="0" applyNumberFormat="1" applyFont="1" applyFill="1" applyBorder="1"/>
    <xf numFmtId="2" fontId="15" fillId="0" borderId="0" xfId="0" applyNumberFormat="1" applyFont="1" applyFill="1" applyBorder="1"/>
    <xf numFmtId="0" fontId="26" fillId="0" borderId="0" xfId="0" applyFont="1" applyFill="1" applyBorder="1" applyAlignment="1">
      <alignment wrapText="1"/>
    </xf>
    <xf numFmtId="0" fontId="25" fillId="0" borderId="0" xfId="0" applyFont="1" applyFill="1" applyBorder="1" applyAlignment="1">
      <alignment horizontal="left"/>
    </xf>
    <xf numFmtId="164" fontId="15" fillId="0" borderId="0" xfId="0" applyNumberFormat="1" applyFont="1"/>
    <xf numFmtId="164" fontId="15" fillId="0" borderId="29" xfId="0" applyNumberFormat="1" applyFont="1" applyFill="1" applyBorder="1" applyAlignment="1">
      <alignment horizontal="right"/>
    </xf>
    <xf numFmtId="0" fontId="20" fillId="0" borderId="0" xfId="0" applyFont="1" applyFill="1" applyBorder="1" applyAlignment="1">
      <alignment horizontal="right"/>
    </xf>
    <xf numFmtId="3" fontId="20" fillId="0" borderId="0" xfId="0" applyNumberFormat="1" applyFont="1" applyFill="1" applyBorder="1"/>
    <xf numFmtId="166" fontId="20" fillId="0" borderId="0" xfId="0" applyNumberFormat="1" applyFont="1"/>
    <xf numFmtId="1" fontId="20" fillId="0" borderId="0" xfId="0" applyNumberFormat="1" applyFont="1" applyBorder="1" applyAlignment="1"/>
    <xf numFmtId="164" fontId="20" fillId="0" borderId="0" xfId="0" applyNumberFormat="1" applyFont="1" applyBorder="1"/>
    <xf numFmtId="4" fontId="20" fillId="0" borderId="0" xfId="0" applyNumberFormat="1" applyFont="1" applyBorder="1"/>
    <xf numFmtId="0" fontId="15" fillId="0" borderId="0" xfId="0" applyFont="1" applyAlignment="1">
      <alignment horizontal="left"/>
    </xf>
    <xf numFmtId="1" fontId="20" fillId="0" borderId="0" xfId="0" applyNumberFormat="1" applyFont="1" applyBorder="1" applyAlignment="1">
      <alignment wrapText="1"/>
    </xf>
    <xf numFmtId="164" fontId="15" fillId="0" borderId="0" xfId="0" applyNumberFormat="1" applyFont="1" applyBorder="1"/>
    <xf numFmtId="0" fontId="20" fillId="0" borderId="0" xfId="0" applyFont="1" applyAlignment="1">
      <alignment horizontal="left"/>
    </xf>
    <xf numFmtId="1" fontId="28" fillId="0" borderId="0" xfId="1" applyNumberFormat="1" applyFont="1" applyBorder="1" applyAlignment="1"/>
    <xf numFmtId="0" fontId="28" fillId="0" borderId="0" xfId="1" applyFont="1" applyAlignment="1">
      <alignment horizontal="left"/>
    </xf>
    <xf numFmtId="0" fontId="15" fillId="0" borderId="0" xfId="0" applyFont="1" applyAlignment="1">
      <alignment horizontal="right"/>
    </xf>
    <xf numFmtId="0" fontId="15" fillId="0" borderId="0" xfId="0" applyFont="1" applyFill="1" applyBorder="1" applyAlignment="1">
      <alignment horizontal="right"/>
    </xf>
    <xf numFmtId="1" fontId="20" fillId="0" borderId="0" xfId="0" applyNumberFormat="1" applyFont="1" applyFill="1" applyBorder="1" applyAlignment="1">
      <alignment horizontal="right"/>
    </xf>
    <xf numFmtId="1" fontId="20" fillId="0" borderId="0" xfId="0" applyNumberFormat="1" applyFont="1" applyFill="1" applyBorder="1"/>
    <xf numFmtId="167" fontId="15" fillId="0" borderId="0" xfId="0" applyNumberFormat="1" applyFont="1"/>
    <xf numFmtId="0" fontId="20" fillId="0" borderId="0" xfId="0" applyFont="1" applyFill="1" applyBorder="1"/>
    <xf numFmtId="0" fontId="20" fillId="0" borderId="0" xfId="0" applyFont="1"/>
    <xf numFmtId="1" fontId="15" fillId="0" borderId="0" xfId="0" applyNumberFormat="1" applyFont="1" applyAlignment="1">
      <alignment horizontal="right"/>
    </xf>
    <xf numFmtId="167" fontId="20" fillId="0" borderId="0" xfId="0" applyNumberFormat="1" applyFont="1" applyFill="1" applyBorder="1"/>
    <xf numFmtId="167" fontId="20" fillId="0" borderId="0" xfId="0" applyNumberFormat="1" applyFont="1" applyBorder="1" applyAlignment="1">
      <alignment wrapText="1"/>
    </xf>
    <xf numFmtId="2" fontId="15" fillId="0" borderId="0" xfId="0" applyNumberFormat="1" applyFont="1"/>
    <xf numFmtId="1" fontId="28" fillId="0" borderId="0" xfId="1" applyNumberFormat="1" applyFont="1" applyFill="1" applyBorder="1" applyAlignment="1"/>
    <xf numFmtId="0" fontId="26" fillId="0" borderId="18" xfId="0" applyFont="1" applyBorder="1" applyAlignment="1"/>
    <xf numFmtId="0" fontId="26" fillId="0" borderId="16" xfId="0" applyFont="1" applyBorder="1" applyAlignment="1"/>
    <xf numFmtId="0" fontId="26" fillId="0" borderId="25" xfId="0" applyFont="1" applyBorder="1" applyAlignment="1"/>
    <xf numFmtId="1" fontId="15" fillId="0" borderId="0" xfId="0" applyNumberFormat="1" applyFont="1" applyBorder="1" applyAlignment="1">
      <alignment horizontal="right"/>
    </xf>
    <xf numFmtId="167" fontId="15" fillId="0" borderId="0" xfId="0" applyNumberFormat="1" applyFont="1" applyBorder="1"/>
    <xf numFmtId="167" fontId="26" fillId="0" borderId="19" xfId="0" applyNumberFormat="1" applyFont="1" applyBorder="1" applyAlignment="1">
      <alignment wrapText="1"/>
    </xf>
    <xf numFmtId="1" fontId="20" fillId="0" borderId="0" xfId="0" applyNumberFormat="1" applyFont="1" applyBorder="1" applyAlignment="1">
      <alignment horizontal="center" wrapText="1"/>
    </xf>
    <xf numFmtId="167" fontId="20" fillId="0" borderId="0" xfId="0" applyNumberFormat="1" applyFont="1" applyBorder="1" applyAlignment="1">
      <alignment horizontal="center" wrapText="1"/>
    </xf>
    <xf numFmtId="1" fontId="15" fillId="0" borderId="0" xfId="0" applyNumberFormat="1" applyFont="1" applyBorder="1"/>
    <xf numFmtId="0" fontId="33" fillId="0" borderId="0" xfId="0" applyFont="1" applyAlignment="1">
      <alignment horizontal="right"/>
    </xf>
    <xf numFmtId="0" fontId="33" fillId="0" borderId="0" xfId="0" applyFont="1"/>
    <xf numFmtId="1" fontId="34" fillId="0" borderId="0" xfId="0" applyNumberFormat="1" applyFont="1" applyBorder="1" applyAlignment="1"/>
    <xf numFmtId="164" fontId="34" fillId="0" borderId="0" xfId="0" applyNumberFormat="1" applyFont="1" applyBorder="1"/>
    <xf numFmtId="4" fontId="34" fillId="0" borderId="0" xfId="0" applyNumberFormat="1" applyFont="1" applyBorder="1"/>
    <xf numFmtId="1" fontId="34" fillId="0" borderId="0" xfId="0" applyNumberFormat="1" applyFont="1" applyBorder="1" applyAlignment="1">
      <alignment wrapText="1"/>
    </xf>
    <xf numFmtId="164" fontId="33" fillId="0" borderId="0" xfId="0" applyNumberFormat="1" applyFont="1" applyBorder="1"/>
    <xf numFmtId="0" fontId="15" fillId="0" borderId="0" xfId="0" applyFont="1" applyFill="1" applyBorder="1" applyProtection="1"/>
    <xf numFmtId="0" fontId="13" fillId="0" borderId="0" xfId="0" applyFont="1" applyFill="1" applyBorder="1" applyAlignment="1" applyProtection="1">
      <alignment horizontal="left" vertical="top"/>
    </xf>
    <xf numFmtId="0" fontId="31" fillId="0" borderId="0" xfId="0" applyFont="1" applyFill="1" applyBorder="1" applyAlignment="1" applyProtection="1">
      <alignment horizontal="left" vertical="top" wrapText="1"/>
    </xf>
    <xf numFmtId="0" fontId="31" fillId="0" borderId="0" xfId="0" applyFont="1" applyFill="1" applyBorder="1" applyAlignment="1" applyProtection="1">
      <alignment horizontal="left" vertical="top"/>
    </xf>
    <xf numFmtId="0" fontId="31" fillId="0" borderId="0" xfId="0" applyFont="1" applyFill="1" applyBorder="1" applyAlignment="1" applyProtection="1">
      <alignment horizontal="left" wrapText="1"/>
    </xf>
    <xf numFmtId="0" fontId="15" fillId="0" borderId="0" xfId="0" applyFont="1" applyFill="1" applyBorder="1" applyAlignment="1" applyProtection="1"/>
    <xf numFmtId="0" fontId="31" fillId="0" borderId="0" xfId="0" applyFont="1" applyFill="1" applyBorder="1" applyAlignment="1" applyProtection="1">
      <alignment horizontal="left"/>
    </xf>
    <xf numFmtId="0" fontId="24" fillId="0" borderId="0" xfId="0" applyFont="1" applyFill="1" applyBorder="1" applyAlignment="1" applyProtection="1"/>
    <xf numFmtId="0" fontId="18" fillId="0" borderId="0" xfId="0" applyFont="1" applyFill="1" applyBorder="1" applyAlignment="1" applyProtection="1"/>
    <xf numFmtId="0" fontId="24" fillId="0" borderId="0" xfId="0" applyFont="1" applyFill="1" applyBorder="1" applyProtection="1"/>
    <xf numFmtId="0" fontId="18" fillId="0" borderId="0" xfId="0" applyFont="1" applyFill="1" applyBorder="1" applyAlignment="1" applyProtection="1">
      <alignment horizontal="left"/>
    </xf>
    <xf numFmtId="0" fontId="26" fillId="0" borderId="1" xfId="0" applyFont="1" applyFill="1" applyBorder="1" applyProtection="1"/>
    <xf numFmtId="0" fontId="18" fillId="0" borderId="0" xfId="0" applyFont="1" applyFill="1" applyBorder="1" applyProtection="1"/>
    <xf numFmtId="164" fontId="18" fillId="0" borderId="0" xfId="0" applyNumberFormat="1" applyFont="1" applyFill="1" applyBorder="1" applyProtection="1"/>
    <xf numFmtId="164" fontId="15" fillId="0" borderId="0" xfId="0" applyNumberFormat="1" applyFont="1" applyFill="1" applyBorder="1" applyProtection="1"/>
    <xf numFmtId="0" fontId="26" fillId="0" borderId="0" xfId="0" applyFont="1" applyFill="1" applyBorder="1" applyProtection="1"/>
    <xf numFmtId="4" fontId="15" fillId="0" borderId="0" xfId="0" applyNumberFormat="1" applyFont="1" applyFill="1" applyBorder="1" applyProtection="1"/>
    <xf numFmtId="164" fontId="20" fillId="0" borderId="0" xfId="0" applyNumberFormat="1" applyFont="1" applyFill="1" applyBorder="1" applyProtection="1"/>
    <xf numFmtId="1" fontId="18" fillId="0" borderId="0" xfId="0" applyNumberFormat="1" applyFont="1" applyFill="1" applyBorder="1" applyAlignment="1" applyProtection="1">
      <alignment horizontal="center"/>
    </xf>
    <xf numFmtId="0" fontId="18" fillId="0" borderId="0" xfId="0" applyNumberFormat="1" applyFont="1" applyFill="1" applyBorder="1" applyAlignment="1" applyProtection="1">
      <alignment horizontal="left"/>
    </xf>
    <xf numFmtId="164" fontId="18" fillId="0" borderId="0" xfId="0" applyNumberFormat="1" applyFont="1" applyFill="1" applyBorder="1" applyAlignment="1" applyProtection="1">
      <alignment horizontal="right"/>
    </xf>
    <xf numFmtId="0" fontId="21" fillId="0" borderId="0" xfId="1" applyFont="1" applyFill="1" applyBorder="1" applyProtection="1"/>
    <xf numFmtId="1" fontId="21" fillId="0" borderId="0" xfId="1" applyNumberFormat="1" applyFont="1" applyFill="1" applyBorder="1" applyAlignment="1" applyProtection="1">
      <alignment horizontal="center"/>
    </xf>
    <xf numFmtId="164" fontId="21" fillId="0" borderId="0" xfId="1" applyNumberFormat="1" applyFont="1" applyFill="1" applyBorder="1" applyProtection="1"/>
    <xf numFmtId="3" fontId="21" fillId="0" borderId="0" xfId="1" applyNumberFormat="1" applyFont="1" applyFill="1" applyBorder="1" applyProtection="1"/>
    <xf numFmtId="1" fontId="15" fillId="0" borderId="0" xfId="0" applyNumberFormat="1" applyFont="1" applyFill="1" applyBorder="1" applyProtection="1"/>
    <xf numFmtId="44" fontId="21" fillId="0" borderId="0" xfId="1" applyNumberFormat="1" applyFont="1" applyFill="1" applyBorder="1" applyAlignment="1" applyProtection="1">
      <alignment horizontal="center"/>
    </xf>
    <xf numFmtId="44" fontId="21" fillId="0" borderId="0" xfId="1" applyNumberFormat="1" applyFont="1" applyFill="1" applyBorder="1" applyAlignment="1" applyProtection="1">
      <alignment horizontal="right"/>
    </xf>
    <xf numFmtId="1" fontId="21" fillId="0" borderId="13" xfId="1" applyNumberFormat="1" applyFont="1" applyFill="1" applyBorder="1" applyAlignment="1" applyProtection="1">
      <alignment horizontal="right"/>
    </xf>
    <xf numFmtId="44" fontId="21" fillId="0" borderId="13" xfId="1" applyNumberFormat="1" applyFont="1" applyFill="1" applyBorder="1" applyAlignment="1" applyProtection="1">
      <alignment horizontal="right"/>
    </xf>
    <xf numFmtId="0" fontId="22" fillId="0" borderId="0" xfId="0" applyFont="1" applyFill="1" applyBorder="1" applyAlignment="1" applyProtection="1">
      <alignment vertical="center"/>
    </xf>
    <xf numFmtId="0" fontId="23" fillId="0" borderId="0" xfId="1" applyFont="1" applyFill="1" applyBorder="1" applyProtection="1"/>
    <xf numFmtId="1" fontId="18" fillId="0" borderId="1" xfId="0" applyNumberFormat="1" applyFont="1" applyFill="1" applyBorder="1" applyProtection="1"/>
    <xf numFmtId="164" fontId="26" fillId="0" borderId="0" xfId="0" applyNumberFormat="1" applyFont="1" applyFill="1" applyBorder="1" applyProtection="1"/>
    <xf numFmtId="0" fontId="16" fillId="0" borderId="0" xfId="0" applyFont="1" applyFill="1" applyBorder="1" applyProtection="1"/>
    <xf numFmtId="1" fontId="17" fillId="0" borderId="0" xfId="0" applyNumberFormat="1" applyFont="1" applyFill="1" applyBorder="1" applyProtection="1"/>
    <xf numFmtId="0" fontId="17" fillId="0" borderId="0" xfId="0" applyFont="1" applyFill="1" applyBorder="1" applyProtection="1"/>
    <xf numFmtId="164" fontId="16" fillId="0" borderId="0" xfId="0" applyNumberFormat="1" applyFont="1" applyFill="1" applyBorder="1" applyProtection="1"/>
    <xf numFmtId="0" fontId="24" fillId="0" borderId="0" xfId="0" applyFont="1"/>
    <xf numFmtId="0" fontId="25" fillId="0" borderId="0" xfId="0" applyFont="1"/>
    <xf numFmtId="0" fontId="15" fillId="0" borderId="0" xfId="0" applyFont="1" applyAlignment="1">
      <alignment horizontal="center"/>
    </xf>
    <xf numFmtId="164" fontId="20" fillId="0" borderId="0" xfId="0" applyNumberFormat="1" applyFont="1"/>
    <xf numFmtId="0" fontId="24" fillId="0" borderId="1" xfId="0" applyFont="1" applyBorder="1"/>
    <xf numFmtId="0" fontId="15" fillId="0" borderId="0" xfId="0" applyFont="1" applyBorder="1"/>
    <xf numFmtId="0" fontId="35" fillId="0" borderId="0" xfId="0" applyFont="1"/>
    <xf numFmtId="164" fontId="24" fillId="0" borderId="0" xfId="0" applyNumberFormat="1" applyFont="1"/>
    <xf numFmtId="0" fontId="28" fillId="0" borderId="0" xfId="1" applyFont="1" applyFill="1" applyBorder="1" applyProtection="1"/>
    <xf numFmtId="0" fontId="15" fillId="0" borderId="0" xfId="0" applyFont="1" applyProtection="1"/>
    <xf numFmtId="0" fontId="29" fillId="0" borderId="0" xfId="0" applyFont="1" applyAlignment="1" applyProtection="1"/>
    <xf numFmtId="0" fontId="29" fillId="0" borderId="0" xfId="0" applyFont="1" applyAlignment="1" applyProtection="1">
      <alignment horizontal="center"/>
    </xf>
    <xf numFmtId="0" fontId="24" fillId="0" borderId="0" xfId="0" applyFont="1" applyAlignment="1" applyProtection="1">
      <alignment horizontal="left"/>
    </xf>
    <xf numFmtId="0" fontId="18" fillId="0" borderId="0" xfId="0" applyFont="1" applyAlignment="1" applyProtection="1">
      <alignment horizontal="center"/>
    </xf>
    <xf numFmtId="0" fontId="20" fillId="0" borderId="26" xfId="0" applyFont="1" applyFill="1" applyBorder="1" applyAlignment="1" applyProtection="1">
      <alignment wrapText="1"/>
    </xf>
    <xf numFmtId="0" fontId="20" fillId="2" borderId="25" xfId="0" applyFont="1" applyFill="1" applyBorder="1" applyAlignment="1" applyProtection="1">
      <alignment horizontal="center" wrapText="1"/>
    </xf>
    <xf numFmtId="0" fontId="20" fillId="0" borderId="18" xfId="0" applyFont="1" applyFill="1" applyBorder="1" applyAlignment="1" applyProtection="1">
      <alignment wrapText="1"/>
    </xf>
    <xf numFmtId="0" fontId="20" fillId="0" borderId="16" xfId="0" applyFont="1" applyFill="1" applyBorder="1" applyAlignment="1" applyProtection="1">
      <alignment horizontal="center" wrapText="1"/>
    </xf>
    <xf numFmtId="0" fontId="20" fillId="0" borderId="25" xfId="0" applyFont="1" applyFill="1" applyBorder="1" applyAlignment="1" applyProtection="1">
      <alignment horizontal="center" wrapText="1"/>
    </xf>
    <xf numFmtId="0" fontId="20" fillId="0" borderId="26" xfId="0" applyFont="1" applyFill="1" applyBorder="1" applyAlignment="1" applyProtection="1">
      <alignment horizontal="center" wrapText="1"/>
    </xf>
    <xf numFmtId="2" fontId="20" fillId="0" borderId="28" xfId="0" applyNumberFormat="1" applyFont="1" applyFill="1" applyBorder="1" applyProtection="1"/>
    <xf numFmtId="2" fontId="20" fillId="2" borderId="19" xfId="0" applyNumberFormat="1" applyFont="1" applyFill="1" applyBorder="1" applyAlignment="1" applyProtection="1">
      <alignment horizontal="center" wrapText="1"/>
    </xf>
    <xf numFmtId="2" fontId="20" fillId="2" borderId="0" xfId="0" applyNumberFormat="1" applyFont="1" applyFill="1" applyBorder="1" applyAlignment="1" applyProtection="1">
      <alignment horizontal="center" wrapText="1"/>
    </xf>
    <xf numFmtId="2" fontId="20" fillId="2" borderId="0" xfId="0" applyNumberFormat="1" applyFont="1" applyFill="1" applyBorder="1" applyAlignment="1" applyProtection="1">
      <alignment horizontal="center"/>
    </xf>
    <xf numFmtId="2" fontId="20" fillId="2" borderId="20" xfId="0" applyNumberFormat="1" applyFont="1" applyFill="1" applyBorder="1" applyAlignment="1" applyProtection="1">
      <alignment horizontal="center" wrapText="1"/>
    </xf>
    <xf numFmtId="2" fontId="20" fillId="0" borderId="21" xfId="0" applyNumberFormat="1" applyFont="1" applyFill="1" applyBorder="1" applyAlignment="1" applyProtection="1">
      <alignment horizontal="center" wrapText="1"/>
    </xf>
    <xf numFmtId="2" fontId="20" fillId="0" borderId="1" xfId="0" applyNumberFormat="1" applyFont="1" applyFill="1" applyBorder="1" applyAlignment="1" applyProtection="1">
      <alignment horizontal="center"/>
    </xf>
    <xf numFmtId="2" fontId="20" fillId="0" borderId="22" xfId="0" applyNumberFormat="1" applyFont="1" applyFill="1" applyBorder="1" applyAlignment="1" applyProtection="1">
      <alignment horizontal="center"/>
    </xf>
    <xf numFmtId="2" fontId="20" fillId="0" borderId="28" xfId="0" applyNumberFormat="1" applyFont="1" applyFill="1" applyBorder="1" applyAlignment="1" applyProtection="1">
      <alignment horizontal="center" wrapText="1"/>
    </xf>
    <xf numFmtId="2" fontId="25" fillId="0" borderId="25" xfId="0" applyNumberFormat="1" applyFont="1" applyFill="1" applyBorder="1" applyAlignment="1" applyProtection="1">
      <alignment wrapText="1"/>
    </xf>
    <xf numFmtId="2" fontId="15" fillId="0" borderId="18" xfId="0" applyNumberFormat="1" applyFont="1" applyFill="1" applyBorder="1" applyProtection="1"/>
    <xf numFmtId="3" fontId="15" fillId="0" borderId="16" xfId="0" applyNumberFormat="1" applyFont="1" applyFill="1" applyBorder="1" applyProtection="1"/>
    <xf numFmtId="3" fontId="15" fillId="0" borderId="38" xfId="0" applyNumberFormat="1" applyFont="1" applyFill="1" applyBorder="1" applyAlignment="1" applyProtection="1">
      <alignment horizontal="center"/>
    </xf>
    <xf numFmtId="2" fontId="25" fillId="0" borderId="20" xfId="0" applyNumberFormat="1" applyFont="1" applyFill="1" applyBorder="1" applyAlignment="1" applyProtection="1">
      <alignment wrapText="1"/>
    </xf>
    <xf numFmtId="2" fontId="15" fillId="0" borderId="19" xfId="0" applyNumberFormat="1" applyFont="1" applyFill="1" applyBorder="1" applyProtection="1"/>
    <xf numFmtId="3" fontId="15" fillId="0" borderId="0" xfId="0" applyNumberFormat="1" applyFont="1" applyFill="1" applyBorder="1" applyProtection="1"/>
    <xf numFmtId="3" fontId="15" fillId="0" borderId="2" xfId="0" applyNumberFormat="1" applyFont="1" applyFill="1" applyBorder="1" applyAlignment="1" applyProtection="1">
      <alignment horizontal="center"/>
    </xf>
    <xf numFmtId="2" fontId="25" fillId="0" borderId="33" xfId="0" applyNumberFormat="1" applyFont="1" applyFill="1" applyBorder="1" applyAlignment="1" applyProtection="1">
      <alignment wrapText="1"/>
    </xf>
    <xf numFmtId="2" fontId="15" fillId="0" borderId="32" xfId="0" applyNumberFormat="1" applyFont="1" applyFill="1" applyBorder="1" applyProtection="1"/>
    <xf numFmtId="3" fontId="15" fillId="0" borderId="29" xfId="0" applyNumberFormat="1" applyFont="1" applyFill="1" applyBorder="1" applyProtection="1"/>
    <xf numFmtId="2" fontId="20" fillId="0" borderId="0" xfId="0" applyNumberFormat="1" applyFont="1" applyFill="1" applyBorder="1" applyProtection="1"/>
    <xf numFmtId="2" fontId="20" fillId="0" borderId="30" xfId="0" applyNumberFormat="1" applyFont="1" applyFill="1" applyBorder="1" applyAlignment="1" applyProtection="1">
      <alignment horizontal="center" wrapText="1"/>
    </xf>
    <xf numFmtId="0" fontId="20" fillId="0" borderId="30" xfId="0" applyFont="1" applyFill="1" applyBorder="1" applyProtection="1"/>
    <xf numFmtId="0" fontId="20" fillId="0" borderId="0" xfId="0" applyFont="1" applyAlignment="1" applyProtection="1">
      <alignment horizontal="center"/>
    </xf>
    <xf numFmtId="3" fontId="20" fillId="0" borderId="39" xfId="0" applyNumberFormat="1" applyFont="1" applyFill="1" applyBorder="1" applyProtection="1"/>
    <xf numFmtId="0" fontId="18" fillId="0" borderId="19" xfId="0" applyFont="1" applyFill="1" applyBorder="1" applyAlignment="1" applyProtection="1"/>
    <xf numFmtId="0" fontId="19" fillId="0" borderId="0" xfId="0" applyFont="1" applyAlignment="1" applyProtection="1"/>
    <xf numFmtId="0" fontId="19" fillId="0" borderId="0" xfId="0" applyFont="1" applyAlignment="1" applyProtection="1">
      <alignment horizontal="left"/>
    </xf>
    <xf numFmtId="2" fontId="19" fillId="0" borderId="0" xfId="0" applyNumberFormat="1" applyFont="1" applyFill="1" applyBorder="1" applyAlignment="1" applyProtection="1"/>
    <xf numFmtId="2" fontId="19" fillId="0" borderId="0" xfId="0" applyNumberFormat="1" applyFont="1" applyFill="1" applyBorder="1" applyAlignment="1" applyProtection="1">
      <alignment horizontal="left"/>
    </xf>
    <xf numFmtId="0" fontId="24" fillId="0" borderId="40" xfId="0" applyFont="1" applyFill="1" applyBorder="1" applyAlignment="1" applyProtection="1">
      <alignment horizontal="right"/>
    </xf>
    <xf numFmtId="164" fontId="24" fillId="0" borderId="42" xfId="0" applyNumberFormat="1" applyFont="1" applyBorder="1" applyAlignment="1" applyProtection="1">
      <alignment horizontal="left"/>
    </xf>
    <xf numFmtId="44" fontId="18" fillId="0" borderId="19" xfId="2" applyFont="1" applyFill="1" applyBorder="1" applyAlignment="1" applyProtection="1"/>
    <xf numFmtId="9" fontId="24" fillId="0" borderId="42" xfId="0" applyNumberFormat="1" applyFont="1" applyBorder="1" applyAlignment="1" applyProtection="1">
      <alignment horizontal="left"/>
    </xf>
    <xf numFmtId="0" fontId="19" fillId="0" borderId="0" xfId="0" applyFont="1" applyAlignment="1" applyProtection="1">
      <alignment wrapText="1"/>
    </xf>
    <xf numFmtId="0" fontId="19" fillId="0" borderId="0" xfId="0" applyFont="1" applyAlignment="1" applyProtection="1">
      <alignment horizontal="left" wrapText="1"/>
    </xf>
    <xf numFmtId="2" fontId="15" fillId="0" borderId="0" xfId="0" applyNumberFormat="1" applyFont="1" applyFill="1" applyBorder="1" applyAlignment="1" applyProtection="1">
      <alignment horizontal="right"/>
    </xf>
    <xf numFmtId="164" fontId="15" fillId="0" borderId="34" xfId="0" applyNumberFormat="1" applyFont="1" applyBorder="1"/>
    <xf numFmtId="164" fontId="25" fillId="0" borderId="45" xfId="0" applyNumberFormat="1" applyFont="1" applyBorder="1"/>
    <xf numFmtId="0" fontId="21" fillId="0" borderId="1" xfId="1" applyFont="1" applyFill="1" applyBorder="1" applyProtection="1"/>
    <xf numFmtId="1" fontId="21" fillId="0" borderId="1" xfId="1" applyNumberFormat="1" applyFont="1" applyFill="1" applyBorder="1" applyAlignment="1" applyProtection="1">
      <alignment horizontal="center"/>
    </xf>
    <xf numFmtId="164" fontId="21" fillId="0" borderId="1" xfId="1" applyNumberFormat="1" applyFont="1" applyFill="1" applyBorder="1" applyProtection="1"/>
    <xf numFmtId="1" fontId="18" fillId="0" borderId="0" xfId="0" applyNumberFormat="1" applyFont="1" applyFill="1" applyBorder="1" applyProtection="1"/>
    <xf numFmtId="0" fontId="24" fillId="0" borderId="1" xfId="0" applyFont="1" applyFill="1" applyBorder="1" applyProtection="1"/>
    <xf numFmtId="44" fontId="18" fillId="0" borderId="1" xfId="2" applyFont="1" applyFill="1" applyBorder="1" applyProtection="1"/>
    <xf numFmtId="44" fontId="24" fillId="0" borderId="1" xfId="2" applyFont="1" applyFill="1" applyBorder="1" applyProtection="1"/>
    <xf numFmtId="164" fontId="26" fillId="0" borderId="1" xfId="0" applyNumberFormat="1" applyFont="1" applyFill="1" applyBorder="1" applyAlignment="1" applyProtection="1">
      <alignment horizontal="center"/>
    </xf>
    <xf numFmtId="1" fontId="26" fillId="0" borderId="1" xfId="0" applyNumberFormat="1" applyFont="1" applyFill="1" applyBorder="1" applyAlignment="1" applyProtection="1">
      <alignment horizontal="center"/>
    </xf>
    <xf numFmtId="0" fontId="26" fillId="0" borderId="1" xfId="0" applyFont="1" applyFill="1" applyBorder="1" applyAlignment="1" applyProtection="1">
      <alignment horizontal="center"/>
    </xf>
    <xf numFmtId="1" fontId="26" fillId="0" borderId="0" xfId="0" applyNumberFormat="1" applyFont="1" applyFill="1" applyBorder="1" applyProtection="1"/>
    <xf numFmtId="4" fontId="26" fillId="0" borderId="0" xfId="0" applyNumberFormat="1" applyFont="1" applyFill="1" applyBorder="1" applyProtection="1"/>
    <xf numFmtId="0" fontId="25" fillId="0" borderId="0" xfId="0" applyFont="1" applyFill="1" applyBorder="1" applyProtection="1"/>
    <xf numFmtId="0" fontId="24" fillId="0" borderId="0" xfId="0" applyFont="1" applyFill="1" applyBorder="1" applyAlignment="1"/>
    <xf numFmtId="0" fontId="20" fillId="0" borderId="22" xfId="0" applyFont="1" applyFill="1" applyBorder="1" applyAlignment="1">
      <alignment wrapText="1"/>
    </xf>
    <xf numFmtId="0" fontId="18" fillId="0" borderId="0" xfId="0" applyFont="1" applyFill="1" applyBorder="1"/>
    <xf numFmtId="44" fontId="18" fillId="0" borderId="16" xfId="2" applyFont="1" applyFill="1" applyBorder="1"/>
    <xf numFmtId="44" fontId="18" fillId="0" borderId="0" xfId="2" applyFont="1" applyFill="1" applyBorder="1"/>
    <xf numFmtId="0" fontId="24" fillId="0" borderId="0" xfId="0" applyFont="1" applyFill="1" applyBorder="1"/>
    <xf numFmtId="44" fontId="30" fillId="0" borderId="0" xfId="2" applyFont="1" applyFill="1" applyBorder="1"/>
    <xf numFmtId="0" fontId="20" fillId="0" borderId="18" xfId="0" applyFont="1" applyFill="1" applyBorder="1" applyAlignment="1">
      <alignment horizontal="right"/>
    </xf>
    <xf numFmtId="0" fontId="20" fillId="0" borderId="16" xfId="0" applyFont="1" applyFill="1" applyBorder="1" applyAlignment="1">
      <alignment horizontal="right"/>
    </xf>
    <xf numFmtId="0" fontId="20" fillId="0" borderId="25" xfId="0" applyFont="1" applyFill="1" applyBorder="1" applyAlignment="1">
      <alignment horizontal="right"/>
    </xf>
    <xf numFmtId="0" fontId="15" fillId="0" borderId="21" xfId="0" applyFont="1" applyFill="1" applyBorder="1" applyAlignment="1">
      <alignment horizontal="right"/>
    </xf>
    <xf numFmtId="0" fontId="15" fillId="0" borderId="1" xfId="0" applyFont="1" applyFill="1" applyBorder="1" applyAlignment="1">
      <alignment horizontal="right"/>
    </xf>
    <xf numFmtId="0" fontId="15" fillId="0" borderId="22" xfId="0" applyFont="1" applyFill="1" applyBorder="1" applyAlignment="1">
      <alignment horizontal="right"/>
    </xf>
    <xf numFmtId="0" fontId="20" fillId="0" borderId="0" xfId="0" applyFont="1" applyAlignment="1">
      <alignment horizontal="right"/>
    </xf>
    <xf numFmtId="8" fontId="20" fillId="0" borderId="0" xfId="0" applyNumberFormat="1" applyFont="1" applyFill="1" applyBorder="1" applyAlignment="1">
      <alignment horizontal="right"/>
    </xf>
    <xf numFmtId="0" fontId="20" fillId="0" borderId="0" xfId="0" applyFont="1" applyFill="1" applyBorder="1" applyAlignment="1">
      <alignment horizontal="center"/>
    </xf>
    <xf numFmtId="0" fontId="28" fillId="0" borderId="0" xfId="1" applyFont="1" applyFill="1" applyBorder="1" applyAlignment="1"/>
    <xf numFmtId="0" fontId="28" fillId="0" borderId="0" xfId="1" applyFont="1" applyFill="1" applyBorder="1"/>
    <xf numFmtId="0" fontId="24" fillId="0" borderId="1" xfId="0" applyFont="1" applyFill="1" applyBorder="1"/>
    <xf numFmtId="0" fontId="24" fillId="0" borderId="22" xfId="0" applyFont="1" applyFill="1" applyBorder="1"/>
    <xf numFmtId="164" fontId="24" fillId="2" borderId="26" xfId="0" applyNumberFormat="1" applyFont="1" applyFill="1" applyBorder="1" applyAlignment="1">
      <alignment horizontal="center" wrapText="1"/>
    </xf>
    <xf numFmtId="0" fontId="18" fillId="0" borderId="31" xfId="0" applyFont="1" applyFill="1" applyBorder="1"/>
    <xf numFmtId="0" fontId="18" fillId="0" borderId="17" xfId="0" applyFont="1" applyFill="1" applyBorder="1"/>
    <xf numFmtId="0" fontId="25" fillId="0" borderId="0" xfId="0" applyFont="1" applyFill="1" applyBorder="1" applyAlignment="1" applyProtection="1">
      <alignment wrapText="1"/>
    </xf>
    <xf numFmtId="0" fontId="25" fillId="0" borderId="0" xfId="0" applyFont="1" applyFill="1" applyBorder="1" applyAlignment="1" applyProtection="1"/>
    <xf numFmtId="0" fontId="36" fillId="0" borderId="0" xfId="0" applyFont="1" applyAlignment="1">
      <alignment horizontal="left"/>
    </xf>
    <xf numFmtId="0" fontId="36" fillId="0" borderId="0" xfId="0" applyFont="1" applyFill="1" applyBorder="1" applyAlignment="1">
      <alignment horizontal="left"/>
    </xf>
    <xf numFmtId="0" fontId="36" fillId="0" borderId="0" xfId="0" applyFont="1" applyFill="1" applyBorder="1"/>
    <xf numFmtId="0" fontId="21" fillId="0" borderId="0" xfId="1" applyFont="1" applyFill="1" applyBorder="1" applyAlignment="1" applyProtection="1">
      <alignment horizontal="center"/>
    </xf>
    <xf numFmtId="164" fontId="21" fillId="0" borderId="0" xfId="1" applyNumberFormat="1" applyFont="1" applyFill="1" applyBorder="1" applyAlignment="1" applyProtection="1">
      <alignment horizontal="right"/>
    </xf>
    <xf numFmtId="1" fontId="21" fillId="0" borderId="0" xfId="1" applyNumberFormat="1" applyFont="1" applyFill="1" applyBorder="1" applyAlignment="1" applyProtection="1">
      <alignment horizontal="right"/>
    </xf>
    <xf numFmtId="0" fontId="38" fillId="0" borderId="0" xfId="0" applyFont="1" applyProtection="1"/>
    <xf numFmtId="0" fontId="39" fillId="0" borderId="0" xfId="0" applyFont="1" applyBorder="1" applyAlignment="1" applyProtection="1">
      <alignment horizontal="center"/>
    </xf>
    <xf numFmtId="0" fontId="36" fillId="0" borderId="0" xfId="0" applyFont="1" applyFill="1" applyProtection="1"/>
    <xf numFmtId="0" fontId="38" fillId="0" borderId="0" xfId="0" applyFont="1" applyFill="1" applyBorder="1" applyProtection="1"/>
    <xf numFmtId="165" fontId="38" fillId="0" borderId="0" xfId="0" applyNumberFormat="1" applyFont="1" applyFill="1" applyBorder="1" applyAlignment="1" applyProtection="1">
      <alignment horizontal="center"/>
    </xf>
    <xf numFmtId="2" fontId="38" fillId="0" borderId="0" xfId="0" applyNumberFormat="1" applyFont="1" applyFill="1" applyBorder="1" applyAlignment="1" applyProtection="1">
      <alignment horizontal="center"/>
    </xf>
    <xf numFmtId="0" fontId="45" fillId="0" borderId="0" xfId="0" applyFont="1" applyFill="1" applyBorder="1" applyProtection="1"/>
    <xf numFmtId="0" fontId="23" fillId="0" borderId="13" xfId="0" applyFont="1" applyBorder="1" applyProtection="1"/>
    <xf numFmtId="0" fontId="23" fillId="0" borderId="12" xfId="0" applyFont="1" applyBorder="1" applyProtection="1"/>
    <xf numFmtId="0" fontId="47" fillId="0" borderId="0" xfId="0" applyFont="1" applyFill="1" applyProtection="1"/>
    <xf numFmtId="0" fontId="41" fillId="0" borderId="0" xfId="0" applyFont="1" applyFill="1" applyProtection="1"/>
    <xf numFmtId="0" fontId="46" fillId="0" borderId="1" xfId="0" applyFont="1" applyFill="1" applyBorder="1" applyProtection="1"/>
    <xf numFmtId="0" fontId="46" fillId="0" borderId="1" xfId="0" applyFont="1" applyFill="1" applyBorder="1" applyAlignment="1" applyProtection="1">
      <alignment horizontal="center" wrapText="1"/>
    </xf>
    <xf numFmtId="0" fontId="43" fillId="0" borderId="0" xfId="0" applyFont="1" applyBorder="1" applyProtection="1"/>
    <xf numFmtId="0" fontId="43" fillId="0" borderId="0" xfId="0" applyFont="1" applyBorder="1" applyAlignment="1" applyProtection="1">
      <alignment horizontal="center"/>
    </xf>
    <xf numFmtId="164" fontId="43" fillId="0" borderId="0" xfId="0" applyNumberFormat="1" applyFont="1" applyFill="1" applyBorder="1" applyAlignment="1" applyProtection="1">
      <alignment horizontal="center"/>
    </xf>
    <xf numFmtId="1" fontId="43" fillId="0" borderId="0" xfId="0" applyNumberFormat="1" applyFont="1" applyBorder="1" applyAlignment="1" applyProtection="1">
      <alignment horizontal="center"/>
    </xf>
    <xf numFmtId="164" fontId="43" fillId="0" borderId="0" xfId="0" applyNumberFormat="1" applyFont="1" applyBorder="1" applyProtection="1"/>
    <xf numFmtId="0" fontId="43" fillId="0" borderId="1" xfId="0" applyFont="1" applyBorder="1" applyProtection="1"/>
    <xf numFmtId="0" fontId="43" fillId="0" borderId="1" xfId="0" applyFont="1" applyBorder="1" applyAlignment="1" applyProtection="1">
      <alignment horizontal="center"/>
    </xf>
    <xf numFmtId="164" fontId="43" fillId="0" borderId="1" xfId="0" applyNumberFormat="1" applyFont="1" applyFill="1" applyBorder="1" applyAlignment="1" applyProtection="1">
      <alignment horizontal="center"/>
    </xf>
    <xf numFmtId="164" fontId="43" fillId="0" borderId="1" xfId="0" applyNumberFormat="1" applyFont="1" applyBorder="1" applyProtection="1"/>
    <xf numFmtId="0" fontId="45" fillId="0" borderId="0" xfId="0" applyFont="1" applyFill="1" applyBorder="1" applyAlignment="1" applyProtection="1">
      <alignment horizontal="right"/>
    </xf>
    <xf numFmtId="164" fontId="45" fillId="0" borderId="0" xfId="0" applyNumberFormat="1" applyFont="1" applyFill="1" applyBorder="1" applyProtection="1"/>
    <xf numFmtId="0" fontId="40" fillId="0" borderId="0" xfId="0" applyFont="1" applyFill="1" applyAlignment="1" applyProtection="1">
      <alignment horizontal="right"/>
    </xf>
    <xf numFmtId="164" fontId="36" fillId="0" borderId="0" xfId="0" applyNumberFormat="1" applyFont="1" applyFill="1" applyProtection="1"/>
    <xf numFmtId="0" fontId="42" fillId="0" borderId="0" xfId="0" applyFont="1" applyProtection="1"/>
    <xf numFmtId="0" fontId="23" fillId="0" borderId="0" xfId="0" applyFont="1" applyFill="1" applyProtection="1"/>
    <xf numFmtId="0" fontId="43" fillId="0" borderId="0" xfId="0" applyFont="1" applyProtection="1"/>
    <xf numFmtId="0" fontId="30" fillId="0" borderId="0" xfId="0" applyFont="1" applyFill="1" applyBorder="1" applyAlignment="1" applyProtection="1">
      <alignment horizontal="center" wrapText="1"/>
    </xf>
    <xf numFmtId="44" fontId="44" fillId="0" borderId="12" xfId="2" applyFont="1" applyFill="1" applyBorder="1" applyAlignment="1" applyProtection="1">
      <alignment horizontal="center" wrapText="1"/>
    </xf>
    <xf numFmtId="0" fontId="44" fillId="0" borderId="12" xfId="0" applyFont="1" applyFill="1" applyBorder="1" applyAlignment="1" applyProtection="1">
      <alignment horizontal="center" wrapText="1"/>
    </xf>
    <xf numFmtId="0" fontId="43" fillId="0" borderId="0" xfId="0" applyFont="1" applyFill="1" applyBorder="1" applyProtection="1"/>
    <xf numFmtId="165" fontId="43" fillId="0" borderId="0" xfId="0" applyNumberFormat="1" applyFont="1" applyFill="1" applyBorder="1" applyAlignment="1" applyProtection="1">
      <alignment horizontal="center"/>
    </xf>
    <xf numFmtId="2" fontId="43" fillId="0" borderId="0" xfId="0" applyNumberFormat="1" applyFont="1" applyFill="1" applyBorder="1" applyAlignment="1" applyProtection="1">
      <alignment horizontal="center"/>
    </xf>
    <xf numFmtId="0" fontId="30" fillId="0" borderId="0" xfId="0" applyFont="1" applyFill="1" applyBorder="1" applyProtection="1"/>
    <xf numFmtId="0" fontId="23" fillId="0" borderId="0" xfId="0" applyFont="1" applyFill="1" applyBorder="1" applyProtection="1"/>
    <xf numFmtId="0" fontId="30" fillId="0" borderId="0" xfId="0" applyFont="1" applyFill="1" applyBorder="1" applyAlignment="1" applyProtection="1">
      <alignment horizontal="center"/>
    </xf>
    <xf numFmtId="0" fontId="18" fillId="0" borderId="0" xfId="0" applyFont="1" applyProtection="1"/>
    <xf numFmtId="0" fontId="45" fillId="0" borderId="0" xfId="0" applyFont="1" applyFill="1" applyProtection="1"/>
    <xf numFmtId="0" fontId="23" fillId="0" borderId="48" xfId="0" applyFont="1" applyFill="1" applyBorder="1" applyProtection="1"/>
    <xf numFmtId="0" fontId="23" fillId="0" borderId="20" xfId="0" applyFont="1" applyBorder="1" applyProtection="1"/>
    <xf numFmtId="165" fontId="43" fillId="0" borderId="49" xfId="0" applyNumberFormat="1" applyFont="1" applyBorder="1" applyAlignment="1" applyProtection="1">
      <alignment horizontal="center"/>
    </xf>
    <xf numFmtId="2" fontId="43" fillId="0" borderId="13" xfId="0" applyNumberFormat="1" applyFont="1" applyBorder="1" applyAlignment="1" applyProtection="1">
      <alignment horizontal="center"/>
    </xf>
    <xf numFmtId="165" fontId="43" fillId="0" borderId="19" xfId="0" applyNumberFormat="1" applyFont="1" applyBorder="1" applyAlignment="1" applyProtection="1">
      <alignment horizontal="center"/>
    </xf>
    <xf numFmtId="2" fontId="43" fillId="0" borderId="0" xfId="0" applyNumberFormat="1" applyFont="1" applyBorder="1" applyAlignment="1" applyProtection="1">
      <alignment horizontal="center"/>
    </xf>
    <xf numFmtId="165" fontId="43" fillId="0" borderId="50" xfId="0" applyNumberFormat="1" applyFont="1" applyBorder="1" applyAlignment="1" applyProtection="1">
      <alignment horizontal="center"/>
    </xf>
    <xf numFmtId="2" fontId="43" fillId="0" borderId="12" xfId="0" applyNumberFormat="1" applyFont="1" applyBorder="1" applyAlignment="1" applyProtection="1">
      <alignment horizontal="center"/>
    </xf>
    <xf numFmtId="44" fontId="23" fillId="0" borderId="0" xfId="2" applyFont="1" applyFill="1" applyBorder="1" applyProtection="1"/>
    <xf numFmtId="0" fontId="43" fillId="0" borderId="0" xfId="0" applyFont="1" applyFill="1" applyProtection="1"/>
    <xf numFmtId="0" fontId="30" fillId="0" borderId="1" xfId="0" applyFont="1" applyFill="1" applyBorder="1" applyProtection="1"/>
    <xf numFmtId="0" fontId="30" fillId="0" borderId="1" xfId="0" applyFont="1" applyFill="1" applyBorder="1" applyAlignment="1" applyProtection="1">
      <alignment horizontal="center" wrapText="1"/>
    </xf>
    <xf numFmtId="164" fontId="43" fillId="0" borderId="0" xfId="0" applyNumberFormat="1" applyFont="1" applyFill="1" applyBorder="1" applyProtection="1"/>
    <xf numFmtId="0" fontId="43" fillId="0" borderId="0" xfId="0" applyFont="1" applyFill="1" applyBorder="1" applyAlignment="1" applyProtection="1">
      <alignment horizontal="center"/>
    </xf>
    <xf numFmtId="0" fontId="44" fillId="0" borderId="0" xfId="0" applyFont="1" applyFill="1" applyBorder="1" applyProtection="1"/>
    <xf numFmtId="0" fontId="44" fillId="0" borderId="0" xfId="0" applyFont="1" applyFill="1" applyBorder="1" applyAlignment="1" applyProtection="1">
      <alignment horizontal="center"/>
    </xf>
    <xf numFmtId="44" fontId="43" fillId="0" borderId="0" xfId="2" applyFont="1" applyFill="1" applyBorder="1" applyProtection="1"/>
    <xf numFmtId="0" fontId="43" fillId="0" borderId="1" xfId="0" applyFont="1" applyFill="1" applyBorder="1" applyProtection="1"/>
    <xf numFmtId="164" fontId="43" fillId="0" borderId="1" xfId="0" applyNumberFormat="1" applyFont="1" applyFill="1" applyBorder="1" applyProtection="1"/>
    <xf numFmtId="44" fontId="43" fillId="0" borderId="1" xfId="2" applyFont="1" applyFill="1" applyBorder="1" applyProtection="1"/>
    <xf numFmtId="0" fontId="30" fillId="0" borderId="0" xfId="0" applyFont="1" applyFill="1" applyBorder="1" applyAlignment="1" applyProtection="1">
      <alignment horizontal="right"/>
    </xf>
    <xf numFmtId="164" fontId="23" fillId="0" borderId="0" xfId="0" applyNumberFormat="1" applyFont="1" applyFill="1" applyBorder="1" applyProtection="1"/>
    <xf numFmtId="164" fontId="43" fillId="0" borderId="0" xfId="0" applyNumberFormat="1" applyFont="1" applyProtection="1"/>
    <xf numFmtId="0" fontId="23" fillId="0" borderId="1" xfId="0" applyFont="1" applyFill="1" applyBorder="1" applyProtection="1"/>
    <xf numFmtId="164" fontId="23" fillId="0" borderId="0" xfId="0" applyNumberFormat="1" applyFont="1" applyFill="1" applyBorder="1" applyAlignment="1" applyProtection="1">
      <alignment horizontal="center"/>
    </xf>
    <xf numFmtId="164" fontId="23" fillId="0" borderId="1" xfId="0" applyNumberFormat="1" applyFont="1" applyFill="1" applyBorder="1" applyAlignment="1" applyProtection="1">
      <alignment horizontal="center"/>
    </xf>
    <xf numFmtId="164" fontId="30" fillId="0" borderId="0" xfId="0" applyNumberFormat="1" applyFont="1" applyFill="1" applyBorder="1" applyProtection="1"/>
    <xf numFmtId="0" fontId="23" fillId="0" borderId="0" xfId="0" applyFont="1" applyBorder="1" applyProtection="1"/>
    <xf numFmtId="165" fontId="43" fillId="0" borderId="0" xfId="0" applyNumberFormat="1" applyFont="1" applyBorder="1" applyAlignment="1" applyProtection="1">
      <alignment horizontal="center"/>
    </xf>
    <xf numFmtId="0" fontId="21" fillId="0" borderId="14" xfId="1" applyFont="1" applyBorder="1" applyProtection="1"/>
    <xf numFmtId="0" fontId="21" fillId="0" borderId="14" xfId="1" applyFont="1" applyBorder="1" applyAlignment="1" applyProtection="1">
      <alignment horizontal="center"/>
    </xf>
    <xf numFmtId="164" fontId="21" fillId="0" borderId="14" xfId="1" applyNumberFormat="1" applyFont="1" applyFill="1" applyBorder="1" applyAlignment="1" applyProtection="1">
      <alignment horizontal="center"/>
    </xf>
    <xf numFmtId="1" fontId="21" fillId="0" borderId="14" xfId="1" applyNumberFormat="1" applyFont="1" applyBorder="1" applyAlignment="1" applyProtection="1">
      <alignment horizontal="center"/>
    </xf>
    <xf numFmtId="164" fontId="21" fillId="0" borderId="14" xfId="1" applyNumberFormat="1" applyFont="1" applyBorder="1" applyProtection="1"/>
    <xf numFmtId="0" fontId="37" fillId="0" borderId="0" xfId="1" applyFont="1" applyProtection="1"/>
    <xf numFmtId="0" fontId="37" fillId="0" borderId="0" xfId="1" applyFont="1" applyBorder="1" applyProtection="1"/>
    <xf numFmtId="0" fontId="43" fillId="2" borderId="26" xfId="0" applyFont="1" applyFill="1" applyBorder="1" applyAlignment="1" applyProtection="1">
      <alignment horizontal="center"/>
      <protection locked="0"/>
    </xf>
    <xf numFmtId="0" fontId="43" fillId="2" borderId="27" xfId="0" applyFont="1" applyFill="1" applyBorder="1" applyAlignment="1" applyProtection="1">
      <alignment horizontal="center"/>
      <protection locked="0"/>
    </xf>
    <xf numFmtId="0" fontId="43" fillId="2" borderId="28" xfId="0" applyFont="1" applyFill="1" applyBorder="1" applyAlignment="1" applyProtection="1">
      <alignment horizontal="center"/>
      <protection locked="0"/>
    </xf>
    <xf numFmtId="0" fontId="43" fillId="2" borderId="18" xfId="0" applyFont="1" applyFill="1" applyBorder="1" applyAlignment="1" applyProtection="1">
      <alignment horizontal="center"/>
      <protection locked="0"/>
    </xf>
    <xf numFmtId="0" fontId="43" fillId="2" borderId="16" xfId="0" applyFont="1" applyFill="1" applyBorder="1" applyAlignment="1" applyProtection="1">
      <alignment horizontal="center"/>
      <protection locked="0"/>
    </xf>
    <xf numFmtId="7" fontId="43" fillId="2" borderId="25" xfId="2" applyNumberFormat="1" applyFont="1" applyFill="1" applyBorder="1" applyAlignment="1" applyProtection="1">
      <alignment horizontal="center"/>
      <protection locked="0"/>
    </xf>
    <xf numFmtId="0" fontId="43" fillId="2" borderId="21" xfId="0" applyFont="1" applyFill="1" applyBorder="1" applyAlignment="1" applyProtection="1">
      <alignment horizontal="center"/>
      <protection locked="0"/>
    </xf>
    <xf numFmtId="0" fontId="43" fillId="2" borderId="1" xfId="0" applyFont="1" applyFill="1" applyBorder="1" applyAlignment="1" applyProtection="1">
      <alignment horizontal="center"/>
      <protection locked="0"/>
    </xf>
    <xf numFmtId="7" fontId="43" fillId="2" borderId="22" xfId="2" applyNumberFormat="1" applyFont="1" applyFill="1" applyBorder="1" applyAlignment="1" applyProtection="1">
      <alignment horizontal="center"/>
      <protection locked="0"/>
    </xf>
    <xf numFmtId="1" fontId="21" fillId="0" borderId="0" xfId="1" applyNumberFormat="1" applyFont="1" applyFill="1" applyBorder="1" applyProtection="1"/>
    <xf numFmtId="0" fontId="26" fillId="0" borderId="31" xfId="0" applyFont="1" applyFill="1" applyBorder="1" applyProtection="1"/>
    <xf numFmtId="1" fontId="27" fillId="0" borderId="17" xfId="0" applyNumberFormat="1" applyFont="1" applyFill="1" applyBorder="1" applyProtection="1"/>
    <xf numFmtId="0" fontId="27" fillId="0" borderId="17" xfId="0" applyFont="1" applyFill="1" applyBorder="1" applyProtection="1"/>
    <xf numFmtId="164" fontId="26" fillId="0" borderId="51" xfId="0" applyNumberFormat="1" applyFont="1" applyFill="1" applyBorder="1" applyProtection="1"/>
    <xf numFmtId="0" fontId="25" fillId="2" borderId="1" xfId="0" applyFont="1" applyFill="1" applyBorder="1" applyProtection="1">
      <protection locked="0"/>
    </xf>
    <xf numFmtId="2" fontId="15" fillId="2" borderId="20" xfId="0" applyNumberFormat="1" applyFont="1" applyFill="1" applyBorder="1" applyAlignment="1" applyProtection="1">
      <alignment horizontal="center"/>
      <protection locked="0"/>
    </xf>
    <xf numFmtId="0" fontId="15" fillId="2" borderId="21" xfId="0" applyFont="1" applyFill="1" applyBorder="1" applyProtection="1">
      <protection locked="0"/>
    </xf>
    <xf numFmtId="0" fontId="15" fillId="2" borderId="1" xfId="0" applyFont="1" applyFill="1" applyBorder="1" applyProtection="1">
      <protection locked="0"/>
    </xf>
    <xf numFmtId="164" fontId="15" fillId="2" borderId="1" xfId="0" applyNumberFormat="1" applyFont="1" applyFill="1" applyBorder="1" applyAlignment="1" applyProtection="1">
      <alignment horizontal="center"/>
      <protection locked="0"/>
    </xf>
    <xf numFmtId="2" fontId="15" fillId="2" borderId="22" xfId="0" applyNumberFormat="1" applyFont="1" applyFill="1" applyBorder="1" applyAlignment="1" applyProtection="1">
      <alignment horizontal="center"/>
      <protection locked="0"/>
    </xf>
    <xf numFmtId="0" fontId="25" fillId="2" borderId="21" xfId="0" applyFont="1" applyFill="1" applyBorder="1" applyProtection="1">
      <protection locked="0"/>
    </xf>
    <xf numFmtId="39" fontId="25" fillId="2" borderId="1" xfId="2" applyNumberFormat="1" applyFont="1" applyFill="1" applyBorder="1" applyProtection="1">
      <protection locked="0"/>
    </xf>
    <xf numFmtId="164" fontId="25" fillId="2" borderId="1" xfId="0" applyNumberFormat="1" applyFont="1" applyFill="1" applyBorder="1" applyAlignment="1" applyProtection="1">
      <alignment horizontal="center"/>
      <protection locked="0"/>
    </xf>
    <xf numFmtId="1" fontId="26" fillId="0" borderId="0" xfId="0" applyNumberFormat="1"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Alignment="1" applyProtection="1">
      <alignment horizontal="center"/>
    </xf>
    <xf numFmtId="1" fontId="18" fillId="2" borderId="19" xfId="0" applyNumberFormat="1" applyFont="1" applyFill="1" applyBorder="1" applyAlignment="1" applyProtection="1">
      <alignment horizontal="center"/>
      <protection locked="0"/>
    </xf>
    <xf numFmtId="0" fontId="31" fillId="2" borderId="37" xfId="0" applyFont="1" applyFill="1" applyBorder="1" applyAlignment="1" applyProtection="1">
      <alignment horizontal="left" vertical="top" wrapText="1"/>
    </xf>
    <xf numFmtId="2" fontId="15" fillId="0" borderId="0" xfId="0" applyNumberFormat="1" applyFont="1" applyProtection="1"/>
    <xf numFmtId="0" fontId="26" fillId="0" borderId="0" xfId="0" applyFont="1" applyBorder="1" applyAlignment="1" applyProtection="1"/>
    <xf numFmtId="0" fontId="20" fillId="0" borderId="0" xfId="0" applyFont="1" applyBorder="1" applyAlignment="1" applyProtection="1">
      <alignment wrapText="1"/>
    </xf>
    <xf numFmtId="1" fontId="20" fillId="0" borderId="0" xfId="0" applyNumberFormat="1" applyFont="1" applyBorder="1" applyAlignment="1" applyProtection="1">
      <alignment wrapText="1"/>
    </xf>
    <xf numFmtId="0" fontId="15" fillId="0" borderId="0" xfId="0" applyFont="1" applyBorder="1" applyProtection="1"/>
    <xf numFmtId="1" fontId="20" fillId="0" borderId="0" xfId="0" applyNumberFormat="1" applyFont="1" applyBorder="1" applyAlignment="1" applyProtection="1"/>
    <xf numFmtId="0" fontId="15" fillId="0" borderId="0" xfId="0" applyFont="1" applyProtection="1">
      <protection locked="0"/>
    </xf>
    <xf numFmtId="0" fontId="15" fillId="0" borderId="0" xfId="0" applyFont="1" applyAlignment="1" applyProtection="1">
      <alignment horizontal="left"/>
      <protection locked="0"/>
    </xf>
    <xf numFmtId="0" fontId="25" fillId="0" borderId="0" xfId="0" applyFont="1" applyAlignment="1" applyProtection="1">
      <alignment horizontal="left"/>
    </xf>
    <xf numFmtId="2" fontId="25" fillId="0" borderId="0" xfId="0" applyNumberFormat="1" applyFont="1" applyFill="1" applyBorder="1" applyAlignment="1" applyProtection="1"/>
    <xf numFmtId="0" fontId="25" fillId="0" borderId="0" xfId="0" applyFont="1" applyAlignment="1" applyProtection="1"/>
    <xf numFmtId="0" fontId="0" fillId="0" borderId="0" xfId="0" applyFill="1" applyBorder="1" applyAlignment="1"/>
    <xf numFmtId="0" fontId="32" fillId="0" borderId="0" xfId="0" applyFont="1" applyFill="1" applyBorder="1" applyAlignment="1" applyProtection="1">
      <alignment horizontal="left" vertical="top"/>
    </xf>
    <xf numFmtId="0" fontId="37" fillId="0" borderId="0" xfId="1" applyFont="1"/>
    <xf numFmtId="0" fontId="48" fillId="0" borderId="1" xfId="1" applyFont="1" applyFill="1" applyBorder="1" applyAlignment="1" applyProtection="1">
      <alignment horizontal="center" wrapText="1"/>
    </xf>
    <xf numFmtId="164" fontId="48" fillId="0" borderId="1" xfId="1" applyNumberFormat="1" applyFont="1" applyFill="1" applyBorder="1" applyAlignment="1" applyProtection="1">
      <alignment horizontal="center" wrapText="1"/>
    </xf>
    <xf numFmtId="0" fontId="18" fillId="0" borderId="0" xfId="0" applyFont="1"/>
    <xf numFmtId="164" fontId="24" fillId="0" borderId="0" xfId="0" applyNumberFormat="1" applyFont="1" applyFill="1" applyBorder="1" applyProtection="1"/>
    <xf numFmtId="37" fontId="43" fillId="2" borderId="28" xfId="2" applyNumberFormat="1" applyFont="1" applyFill="1" applyBorder="1" applyAlignment="1" applyProtection="1">
      <alignment horizontal="center"/>
      <protection locked="0"/>
    </xf>
    <xf numFmtId="0" fontId="23" fillId="0" borderId="12" xfId="0" applyFont="1" applyFill="1" applyBorder="1" applyProtection="1"/>
    <xf numFmtId="165" fontId="43" fillId="0" borderId="12" xfId="0" applyNumberFormat="1" applyFont="1" applyFill="1" applyBorder="1" applyAlignment="1" applyProtection="1">
      <alignment horizontal="center"/>
    </xf>
    <xf numFmtId="0" fontId="15" fillId="0" borderId="0" xfId="0" applyFont="1" applyAlignment="1" applyProtection="1">
      <alignment horizontal="center"/>
    </xf>
    <xf numFmtId="0" fontId="43" fillId="2" borderId="15" xfId="0" applyFont="1" applyFill="1" applyBorder="1" applyAlignment="1" applyProtection="1">
      <alignment horizontal="center"/>
      <protection locked="0"/>
    </xf>
    <xf numFmtId="164" fontId="43" fillId="2" borderId="24" xfId="0" applyNumberFormat="1" applyFont="1" applyFill="1" applyBorder="1" applyProtection="1">
      <protection locked="0"/>
    </xf>
    <xf numFmtId="1" fontId="43" fillId="2" borderId="14" xfId="0" applyNumberFormat="1" applyFont="1" applyFill="1" applyBorder="1" applyAlignment="1" applyProtection="1">
      <alignment horizontal="center"/>
      <protection locked="0"/>
    </xf>
    <xf numFmtId="0" fontId="18" fillId="2" borderId="27" xfId="0" applyFont="1" applyFill="1" applyBorder="1"/>
    <xf numFmtId="0" fontId="18" fillId="2" borderId="28" xfId="0" applyFont="1" applyFill="1" applyBorder="1"/>
    <xf numFmtId="0" fontId="18" fillId="2" borderId="27" xfId="0" applyFont="1" applyFill="1" applyBorder="1" applyProtection="1">
      <protection locked="0"/>
    </xf>
    <xf numFmtId="0" fontId="18" fillId="2" borderId="28" xfId="0" applyFont="1" applyFill="1" applyBorder="1" applyProtection="1">
      <protection locked="0"/>
    </xf>
    <xf numFmtId="44" fontId="23" fillId="2" borderId="27" xfId="2" applyFont="1" applyFill="1" applyBorder="1" applyProtection="1">
      <protection locked="0"/>
    </xf>
    <xf numFmtId="44" fontId="23" fillId="2" borderId="28" xfId="2" applyFont="1" applyFill="1" applyBorder="1" applyProtection="1">
      <protection locked="0"/>
    </xf>
    <xf numFmtId="164" fontId="18" fillId="2" borderId="37" xfId="0" applyNumberFormat="1" applyFont="1" applyFill="1" applyBorder="1" applyAlignment="1" applyProtection="1">
      <alignment horizontal="center"/>
      <protection locked="0"/>
    </xf>
    <xf numFmtId="9" fontId="18" fillId="2" borderId="37" xfId="0" applyNumberFormat="1" applyFont="1" applyFill="1" applyBorder="1" applyAlignment="1" applyProtection="1">
      <alignment horizontal="center"/>
      <protection locked="0"/>
    </xf>
    <xf numFmtId="44" fontId="18" fillId="0" borderId="32" xfId="2" applyFont="1" applyFill="1" applyBorder="1"/>
    <xf numFmtId="0" fontId="18" fillId="2" borderId="26" xfId="0" applyFont="1" applyFill="1" applyBorder="1"/>
    <xf numFmtId="0" fontId="21" fillId="0" borderId="0" xfId="1" applyFont="1" applyProtection="1"/>
    <xf numFmtId="0" fontId="18" fillId="0" borderId="1" xfId="0" applyFont="1" applyBorder="1" applyProtection="1"/>
    <xf numFmtId="0" fontId="21" fillId="0" borderId="1" xfId="1" applyFont="1" applyBorder="1" applyProtection="1"/>
    <xf numFmtId="0" fontId="39" fillId="0" borderId="0" xfId="0" applyFont="1" applyBorder="1" applyAlignment="1" applyProtection="1"/>
    <xf numFmtId="0" fontId="37" fillId="0" borderId="0" xfId="1" applyFont="1" applyBorder="1" applyAlignment="1" applyProtection="1"/>
    <xf numFmtId="0" fontId="12" fillId="0" borderId="0" xfId="0" applyFont="1" applyFill="1" applyBorder="1" applyAlignment="1"/>
    <xf numFmtId="0" fontId="12" fillId="0" borderId="0" xfId="0" applyFont="1" applyFill="1" applyBorder="1" applyAlignment="1">
      <alignment horizontal="left"/>
    </xf>
    <xf numFmtId="0" fontId="24" fillId="0" borderId="0" xfId="0" applyFont="1" applyAlignment="1"/>
    <xf numFmtId="0" fontId="18" fillId="0" borderId="0" xfId="0" applyFont="1" applyAlignment="1"/>
    <xf numFmtId="0" fontId="18" fillId="0" borderId="0" xfId="0" applyFont="1" applyFill="1" applyBorder="1" applyAlignment="1">
      <alignment horizontal="left"/>
    </xf>
    <xf numFmtId="0" fontId="18" fillId="0" borderId="0" xfId="0" applyNumberFormat="1" applyFont="1" applyFill="1" applyBorder="1" applyAlignment="1">
      <alignment horizontal="left"/>
    </xf>
    <xf numFmtId="0" fontId="23" fillId="0" borderId="0" xfId="1" applyNumberFormat="1" applyFont="1" applyFill="1" applyBorder="1" applyAlignment="1">
      <alignment horizontal="left"/>
    </xf>
    <xf numFmtId="0" fontId="23" fillId="0" borderId="0" xfId="1" applyFont="1" applyFill="1" applyBorder="1" applyAlignment="1">
      <alignment horizontal="left"/>
    </xf>
    <xf numFmtId="0" fontId="18" fillId="0" borderId="29" xfId="0" applyFont="1" applyFill="1" applyBorder="1" applyAlignment="1">
      <alignment horizontal="left"/>
    </xf>
    <xf numFmtId="0" fontId="49" fillId="0" borderId="0" xfId="0" applyFont="1" applyAlignment="1">
      <alignment horizontal="left"/>
    </xf>
    <xf numFmtId="0" fontId="49" fillId="0" borderId="0" xfId="0" applyFont="1" applyFill="1" applyBorder="1" applyAlignment="1">
      <alignment horizontal="left"/>
    </xf>
    <xf numFmtId="0" fontId="49" fillId="0" borderId="0" xfId="0" applyFont="1" applyFill="1" applyBorder="1"/>
    <xf numFmtId="0" fontId="30" fillId="2" borderId="26" xfId="0" applyFont="1" applyFill="1" applyBorder="1" applyAlignment="1">
      <alignment horizontal="center" wrapText="1"/>
    </xf>
    <xf numFmtId="0" fontId="18" fillId="0" borderId="14" xfId="0" applyFont="1" applyFill="1" applyBorder="1" applyAlignment="1">
      <alignment horizontal="center" wrapText="1"/>
    </xf>
    <xf numFmtId="164" fontId="18" fillId="0" borderId="14" xfId="0" applyNumberFormat="1" applyFont="1" applyFill="1" applyBorder="1" applyAlignment="1">
      <alignment horizontal="center" wrapText="1"/>
    </xf>
    <xf numFmtId="164" fontId="18" fillId="0" borderId="15" xfId="0" applyNumberFormat="1" applyFont="1" applyFill="1" applyBorder="1" applyAlignment="1">
      <alignment horizontal="center" wrapText="1"/>
    </xf>
    <xf numFmtId="164" fontId="18" fillId="0" borderId="37" xfId="0" applyNumberFormat="1" applyFont="1" applyFill="1" applyBorder="1" applyAlignment="1">
      <alignment horizontal="center" wrapText="1"/>
    </xf>
    <xf numFmtId="0" fontId="24" fillId="0" borderId="24" xfId="0" applyFont="1" applyFill="1" applyBorder="1" applyAlignment="1">
      <alignment horizontal="left" wrapText="1"/>
    </xf>
    <xf numFmtId="164" fontId="20" fillId="0" borderId="0" xfId="0" applyNumberFormat="1" applyFont="1" applyBorder="1" applyAlignment="1">
      <alignment horizontal="center"/>
    </xf>
    <xf numFmtId="1" fontId="20" fillId="0" borderId="0" xfId="0" applyNumberFormat="1" applyFont="1" applyBorder="1" applyAlignment="1">
      <alignment horizontal="center"/>
    </xf>
    <xf numFmtId="1" fontId="28" fillId="0" borderId="0" xfId="1" applyNumberFormat="1" applyFont="1" applyBorder="1" applyAlignment="1">
      <alignment horizontal="center"/>
    </xf>
    <xf numFmtId="0" fontId="28" fillId="0" borderId="0" xfId="1" applyFont="1" applyAlignment="1">
      <alignment horizontal="center"/>
    </xf>
    <xf numFmtId="0" fontId="37" fillId="0" borderId="0" xfId="1" applyFont="1" applyAlignment="1">
      <alignment horizontal="left"/>
    </xf>
    <xf numFmtId="0" fontId="26" fillId="0" borderId="0" xfId="0" applyFont="1" applyAlignment="1" applyProtection="1"/>
    <xf numFmtId="9" fontId="18" fillId="0" borderId="0" xfId="0" applyNumberFormat="1" applyFont="1" applyFill="1" applyBorder="1" applyAlignment="1" applyProtection="1">
      <alignment horizontal="center"/>
      <protection locked="0"/>
    </xf>
    <xf numFmtId="0" fontId="16" fillId="0" borderId="0" xfId="0" applyFont="1" applyProtection="1"/>
    <xf numFmtId="0" fontId="37" fillId="0" borderId="0" xfId="1" applyFont="1" applyAlignment="1" applyProtection="1"/>
    <xf numFmtId="0" fontId="16" fillId="0" borderId="0" xfId="0" applyFont="1"/>
    <xf numFmtId="0" fontId="20" fillId="0" borderId="0" xfId="0" applyFont="1" applyFill="1" applyBorder="1" applyAlignment="1">
      <alignment horizontal="left"/>
    </xf>
    <xf numFmtId="0" fontId="24" fillId="2" borderId="26" xfId="0" applyFont="1" applyFill="1" applyBorder="1" applyAlignment="1">
      <alignment horizontal="center" wrapText="1"/>
    </xf>
    <xf numFmtId="0" fontId="24" fillId="0" borderId="1" xfId="0" applyFont="1" applyFill="1" applyBorder="1" applyAlignment="1">
      <alignment horizontal="center" wrapText="1"/>
    </xf>
    <xf numFmtId="164" fontId="18" fillId="2" borderId="27" xfId="0" applyNumberFormat="1" applyFont="1" applyFill="1" applyBorder="1" applyAlignment="1" applyProtection="1">
      <alignment horizontal="center"/>
      <protection locked="0"/>
    </xf>
    <xf numFmtId="164" fontId="18" fillId="2" borderId="28" xfId="0" applyNumberFormat="1" applyFont="1" applyFill="1" applyBorder="1" applyAlignment="1" applyProtection="1">
      <alignment horizontal="center"/>
      <protection locked="0"/>
    </xf>
    <xf numFmtId="0" fontId="26" fillId="0" borderId="0" xfId="0" applyFont="1" applyFill="1" applyBorder="1" applyAlignment="1">
      <alignment vertical="top"/>
    </xf>
    <xf numFmtId="0" fontId="24" fillId="0" borderId="22" xfId="0" applyFont="1" applyBorder="1" applyAlignment="1">
      <alignment horizontal="left" wrapText="1"/>
    </xf>
    <xf numFmtId="1" fontId="24" fillId="0" borderId="22" xfId="0" applyNumberFormat="1" applyFont="1" applyBorder="1" applyAlignment="1">
      <alignment wrapText="1"/>
    </xf>
    <xf numFmtId="0" fontId="24" fillId="0" borderId="24" xfId="0" applyFont="1" applyFill="1" applyBorder="1"/>
    <xf numFmtId="1" fontId="24" fillId="0" borderId="14" xfId="0" applyNumberFormat="1" applyFont="1" applyFill="1" applyBorder="1" applyAlignment="1">
      <alignment horizontal="center" wrapText="1"/>
    </xf>
    <xf numFmtId="0" fontId="24" fillId="0" borderId="24" xfId="0" applyFont="1" applyFill="1" applyBorder="1" applyAlignment="1">
      <alignment horizontal="center" wrapText="1"/>
    </xf>
    <xf numFmtId="0" fontId="24" fillId="0" borderId="14" xfId="0" applyFont="1" applyFill="1" applyBorder="1" applyAlignment="1">
      <alignment horizontal="center" wrapText="1"/>
    </xf>
    <xf numFmtId="0" fontId="24" fillId="0" borderId="15" xfId="0" applyFont="1" applyFill="1" applyBorder="1" applyAlignment="1">
      <alignment horizontal="center" wrapText="1"/>
    </xf>
    <xf numFmtId="0" fontId="18" fillId="2" borderId="27" xfId="0" applyFont="1" applyFill="1" applyBorder="1" applyAlignment="1" applyProtection="1">
      <alignment horizontal="center"/>
      <protection locked="0"/>
    </xf>
    <xf numFmtId="1" fontId="18" fillId="2" borderId="27" xfId="0" applyNumberFormat="1" applyFont="1" applyFill="1" applyBorder="1" applyAlignment="1" applyProtection="1">
      <alignment horizontal="center"/>
      <protection locked="0"/>
    </xf>
    <xf numFmtId="1" fontId="18" fillId="0" borderId="0" xfId="0" applyNumberFormat="1" applyFont="1" applyFill="1" applyBorder="1" applyAlignment="1">
      <alignment horizontal="right"/>
    </xf>
    <xf numFmtId="164" fontId="18" fillId="0" borderId="0" xfId="0" applyNumberFormat="1" applyFont="1" applyFill="1" applyBorder="1"/>
    <xf numFmtId="2" fontId="18" fillId="2" borderId="27" xfId="0" applyNumberFormat="1" applyFont="1" applyFill="1" applyBorder="1" applyAlignment="1" applyProtection="1">
      <alignment horizontal="center"/>
      <protection locked="0"/>
    </xf>
    <xf numFmtId="0" fontId="18" fillId="0" borderId="0" xfId="0" applyFont="1" applyFill="1" applyBorder="1" applyAlignment="1" applyProtection="1">
      <alignment horizontal="center"/>
      <protection locked="0"/>
    </xf>
    <xf numFmtId="164" fontId="18" fillId="0" borderId="0" xfId="0" applyNumberFormat="1" applyFont="1" applyBorder="1"/>
    <xf numFmtId="3" fontId="18" fillId="0" borderId="0" xfId="0" applyNumberFormat="1" applyFont="1"/>
    <xf numFmtId="164" fontId="18" fillId="0" borderId="0" xfId="0" applyNumberFormat="1" applyFont="1"/>
    <xf numFmtId="0" fontId="18" fillId="2" borderId="27" xfId="0" applyNumberFormat="1" applyFont="1" applyFill="1" applyBorder="1" applyAlignment="1" applyProtection="1">
      <alignment horizontal="center"/>
      <protection locked="0"/>
    </xf>
    <xf numFmtId="0" fontId="23" fillId="2" borderId="27" xfId="1" applyNumberFormat="1" applyFont="1" applyFill="1" applyBorder="1" applyAlignment="1" applyProtection="1">
      <alignment horizontal="center"/>
      <protection locked="0"/>
    </xf>
    <xf numFmtId="0" fontId="23" fillId="2" borderId="27" xfId="0" applyFont="1" applyFill="1" applyBorder="1" applyAlignment="1" applyProtection="1">
      <alignment horizontal="center"/>
      <protection locked="0"/>
    </xf>
    <xf numFmtId="0" fontId="23" fillId="2" borderId="27" xfId="1" applyFont="1" applyFill="1" applyBorder="1" applyAlignment="1" applyProtection="1">
      <alignment horizontal="center"/>
      <protection locked="0"/>
    </xf>
    <xf numFmtId="0" fontId="23" fillId="0" borderId="0" xfId="0" applyFont="1" applyFill="1" applyBorder="1" applyAlignment="1">
      <alignment horizontal="left"/>
    </xf>
    <xf numFmtId="3" fontId="18" fillId="0" borderId="0" xfId="0" applyNumberFormat="1" applyFont="1" applyBorder="1"/>
    <xf numFmtId="0" fontId="18" fillId="2" borderId="35" xfId="0" applyFont="1" applyFill="1" applyBorder="1" applyAlignment="1" applyProtection="1">
      <alignment horizontal="center"/>
      <protection locked="0"/>
    </xf>
    <xf numFmtId="1" fontId="18" fillId="2" borderId="35" xfId="0" applyNumberFormat="1" applyFont="1" applyFill="1" applyBorder="1" applyAlignment="1" applyProtection="1">
      <alignment horizontal="center"/>
      <protection locked="0"/>
    </xf>
    <xf numFmtId="1" fontId="18" fillId="0" borderId="29" xfId="0" applyNumberFormat="1" applyFont="1" applyFill="1" applyBorder="1" applyAlignment="1">
      <alignment horizontal="right"/>
    </xf>
    <xf numFmtId="164" fontId="18" fillId="2" borderId="35" xfId="0" applyNumberFormat="1" applyFont="1" applyFill="1" applyBorder="1" applyAlignment="1" applyProtection="1">
      <alignment horizontal="center"/>
      <protection locked="0"/>
    </xf>
    <xf numFmtId="164" fontId="18" fillId="0" borderId="29" xfId="0" applyNumberFormat="1" applyFont="1" applyFill="1" applyBorder="1"/>
    <xf numFmtId="2" fontId="18" fillId="2" borderId="35" xfId="0" applyNumberFormat="1" applyFont="1" applyFill="1" applyBorder="1" applyAlignment="1" applyProtection="1">
      <alignment horizontal="center"/>
      <protection locked="0"/>
    </xf>
    <xf numFmtId="0" fontId="18" fillId="0" borderId="29" xfId="0" applyFont="1" applyFill="1" applyBorder="1" applyAlignment="1" applyProtection="1">
      <alignment horizontal="center"/>
      <protection locked="0"/>
    </xf>
    <xf numFmtId="164" fontId="18" fillId="0" borderId="29" xfId="0" applyNumberFormat="1" applyFont="1" applyBorder="1"/>
    <xf numFmtId="3" fontId="18" fillId="0" borderId="29" xfId="0" applyNumberFormat="1" applyFont="1" applyBorder="1"/>
    <xf numFmtId="0" fontId="26" fillId="0" borderId="0" xfId="0" applyFont="1"/>
    <xf numFmtId="3" fontId="26" fillId="0" borderId="0" xfId="0" applyNumberFormat="1" applyFont="1"/>
    <xf numFmtId="4" fontId="26" fillId="0" borderId="0" xfId="0" applyNumberFormat="1" applyFont="1" applyFill="1" applyBorder="1"/>
    <xf numFmtId="1" fontId="18" fillId="0" borderId="0" xfId="0" applyNumberFormat="1" applyFont="1" applyFill="1" applyBorder="1" applyAlignment="1" applyProtection="1">
      <alignment horizontal="right"/>
    </xf>
    <xf numFmtId="0" fontId="18" fillId="0" borderId="16" xfId="0" applyFont="1" applyFill="1" applyBorder="1" applyProtection="1"/>
    <xf numFmtId="164" fontId="18" fillId="0" borderId="16" xfId="0" applyNumberFormat="1" applyFont="1" applyBorder="1" applyProtection="1"/>
    <xf numFmtId="3" fontId="18" fillId="0" borderId="0" xfId="0" applyNumberFormat="1" applyFont="1" applyProtection="1"/>
    <xf numFmtId="164" fontId="18" fillId="0" borderId="0" xfId="0" applyNumberFormat="1" applyFont="1" applyProtection="1"/>
    <xf numFmtId="164" fontId="18" fillId="0" borderId="0" xfId="0" applyNumberFormat="1" applyFont="1" applyBorder="1" applyProtection="1"/>
    <xf numFmtId="0" fontId="18" fillId="0" borderId="29" xfId="0" applyFont="1" applyFill="1" applyBorder="1" applyAlignment="1" applyProtection="1">
      <alignment horizontal="left"/>
    </xf>
    <xf numFmtId="1" fontId="18" fillId="0" borderId="32" xfId="0" applyNumberFormat="1" applyFont="1" applyFill="1" applyBorder="1" applyAlignment="1" applyProtection="1">
      <alignment horizontal="right"/>
    </xf>
    <xf numFmtId="164" fontId="18" fillId="0" borderId="29" xfId="0" applyNumberFormat="1" applyFont="1" applyFill="1" applyBorder="1" applyProtection="1"/>
    <xf numFmtId="0" fontId="18" fillId="0" borderId="29" xfId="0" applyFont="1" applyFill="1" applyBorder="1" applyProtection="1"/>
    <xf numFmtId="164" fontId="18" fillId="0" borderId="29" xfId="0" applyNumberFormat="1" applyFont="1" applyBorder="1" applyProtection="1"/>
    <xf numFmtId="3" fontId="18" fillId="0" borderId="29" xfId="0" applyNumberFormat="1" applyFont="1" applyBorder="1" applyProtection="1"/>
    <xf numFmtId="0" fontId="26" fillId="0" borderId="0" xfId="0" applyFont="1" applyAlignment="1" applyProtection="1">
      <alignment horizontal="right"/>
    </xf>
    <xf numFmtId="3" fontId="26" fillId="0" borderId="0" xfId="0" applyNumberFormat="1" applyFont="1" applyProtection="1"/>
    <xf numFmtId="164" fontId="26" fillId="0" borderId="0" xfId="0" applyNumberFormat="1" applyFont="1" applyProtection="1"/>
    <xf numFmtId="0" fontId="26" fillId="0" borderId="24" xfId="0" applyFont="1" applyFill="1" applyBorder="1" applyProtection="1"/>
    <xf numFmtId="0" fontId="26" fillId="2" borderId="26" xfId="0" applyFont="1" applyFill="1" applyBorder="1" applyAlignment="1" applyProtection="1">
      <alignment horizontal="center" wrapText="1"/>
    </xf>
    <xf numFmtId="2" fontId="26" fillId="2" borderId="26" xfId="0" applyNumberFormat="1" applyFont="1" applyFill="1" applyBorder="1" applyAlignment="1" applyProtection="1">
      <alignment horizontal="center" wrapText="1"/>
    </xf>
    <xf numFmtId="1" fontId="26" fillId="0" borderId="14" xfId="0" applyNumberFormat="1" applyFont="1" applyFill="1" applyBorder="1" applyAlignment="1" applyProtection="1">
      <alignment horizontal="center" wrapText="1"/>
    </xf>
    <xf numFmtId="0" fontId="26" fillId="0" borderId="14" xfId="0" applyFont="1" applyFill="1" applyBorder="1" applyAlignment="1" applyProtection="1">
      <alignment horizontal="center" wrapText="1"/>
    </xf>
    <xf numFmtId="0" fontId="26" fillId="0" borderId="15" xfId="0" applyFont="1" applyFill="1" applyBorder="1" applyAlignment="1" applyProtection="1">
      <alignment horizontal="center" wrapText="1"/>
    </xf>
    <xf numFmtId="0" fontId="26" fillId="0" borderId="0" xfId="0" applyFont="1" applyBorder="1" applyAlignment="1" applyProtection="1">
      <alignment horizontal="center"/>
    </xf>
    <xf numFmtId="0" fontId="20" fillId="0" borderId="0" xfId="0" applyFont="1" applyBorder="1" applyAlignment="1" applyProtection="1">
      <alignment horizontal="center" wrapText="1"/>
    </xf>
    <xf numFmtId="0" fontId="15" fillId="0" borderId="0" xfId="0" applyFont="1" applyBorder="1" applyAlignment="1" applyProtection="1">
      <alignment horizontal="center"/>
    </xf>
    <xf numFmtId="2" fontId="15" fillId="0" borderId="0" xfId="0" applyNumberFormat="1" applyFont="1" applyAlignment="1" applyProtection="1">
      <alignment horizontal="center"/>
    </xf>
    <xf numFmtId="2" fontId="26" fillId="0" borderId="0" xfId="0" applyNumberFormat="1" applyFont="1" applyBorder="1" applyAlignment="1" applyProtection="1">
      <alignment horizontal="center"/>
    </xf>
    <xf numFmtId="2" fontId="20" fillId="0" borderId="0" xfId="0" applyNumberFormat="1" applyFont="1" applyBorder="1" applyAlignment="1" applyProtection="1">
      <alignment horizontal="center" wrapText="1"/>
    </xf>
    <xf numFmtId="2" fontId="15" fillId="0" borderId="0" xfId="0" applyNumberFormat="1" applyFont="1" applyBorder="1" applyAlignment="1" applyProtection="1">
      <alignment horizontal="center"/>
    </xf>
    <xf numFmtId="4" fontId="18" fillId="2" borderId="27" xfId="0" applyNumberFormat="1" applyFont="1" applyFill="1" applyBorder="1" applyAlignment="1" applyProtection="1">
      <alignment horizontal="center"/>
      <protection locked="0"/>
    </xf>
    <xf numFmtId="4" fontId="18" fillId="2" borderId="35" xfId="0" applyNumberFormat="1" applyFont="1" applyFill="1" applyBorder="1" applyAlignment="1" applyProtection="1">
      <alignment horizontal="center"/>
      <protection locked="0"/>
    </xf>
    <xf numFmtId="1" fontId="24" fillId="2" borderId="26" xfId="0" applyNumberFormat="1" applyFont="1" applyFill="1" applyBorder="1" applyAlignment="1">
      <alignment horizontal="center" wrapText="1"/>
    </xf>
    <xf numFmtId="2" fontId="24" fillId="2" borderId="26" xfId="0" applyNumberFormat="1" applyFont="1" applyFill="1" applyBorder="1" applyAlignment="1">
      <alignment horizontal="center" wrapText="1"/>
    </xf>
    <xf numFmtId="167" fontId="24" fillId="2" borderId="26" xfId="0" applyNumberFormat="1" applyFont="1" applyFill="1" applyBorder="1" applyAlignment="1">
      <alignment horizontal="center" wrapText="1"/>
    </xf>
    <xf numFmtId="0" fontId="24" fillId="9" borderId="26" xfId="0" applyFont="1" applyFill="1" applyBorder="1" applyAlignment="1">
      <alignment horizontal="center" wrapText="1"/>
    </xf>
    <xf numFmtId="0" fontId="18" fillId="9" borderId="27" xfId="0" applyFont="1" applyFill="1" applyBorder="1" applyAlignment="1" applyProtection="1">
      <alignment horizontal="center"/>
      <protection locked="0"/>
    </xf>
    <xf numFmtId="1" fontId="24" fillId="0" borderId="36" xfId="0" applyNumberFormat="1" applyFont="1" applyBorder="1" applyAlignment="1"/>
    <xf numFmtId="1" fontId="24" fillId="0" borderId="23" xfId="0" applyNumberFormat="1" applyFont="1" applyBorder="1" applyAlignment="1"/>
    <xf numFmtId="0" fontId="18" fillId="9" borderId="28" xfId="0" applyFont="1" applyFill="1" applyBorder="1" applyAlignment="1" applyProtection="1">
      <alignment horizontal="center"/>
      <protection locked="0"/>
    </xf>
    <xf numFmtId="1" fontId="24" fillId="0" borderId="34" xfId="0" applyNumberFormat="1" applyFont="1" applyBorder="1" applyAlignment="1"/>
    <xf numFmtId="167" fontId="18" fillId="2" borderId="27" xfId="0" applyNumberFormat="1" applyFont="1" applyFill="1" applyBorder="1" applyAlignment="1" applyProtection="1">
      <alignment horizontal="center" wrapText="1"/>
      <protection locked="0"/>
    </xf>
    <xf numFmtId="167" fontId="18" fillId="2" borderId="28" xfId="0" applyNumberFormat="1" applyFont="1" applyFill="1" applyBorder="1" applyAlignment="1" applyProtection="1">
      <alignment horizontal="center" wrapText="1"/>
      <protection locked="0"/>
    </xf>
    <xf numFmtId="0" fontId="18" fillId="2" borderId="28" xfId="0" applyFont="1" applyFill="1" applyBorder="1" applyAlignment="1" applyProtection="1">
      <alignment horizontal="center"/>
      <protection locked="0"/>
    </xf>
    <xf numFmtId="0" fontId="24" fillId="0" borderId="23" xfId="0" applyFont="1" applyBorder="1"/>
    <xf numFmtId="0" fontId="24" fillId="0" borderId="34" xfId="0" applyFont="1" applyBorder="1"/>
    <xf numFmtId="0" fontId="37" fillId="0" borderId="0" xfId="1" applyFont="1" applyFill="1" applyBorder="1" applyAlignment="1"/>
    <xf numFmtId="164" fontId="18" fillId="0" borderId="24" xfId="0" applyNumberFormat="1" applyFont="1" applyFill="1" applyBorder="1" applyAlignment="1">
      <alignment horizontal="center" wrapText="1"/>
    </xf>
    <xf numFmtId="165" fontId="23" fillId="2" borderId="27" xfId="0" applyNumberFormat="1" applyFont="1" applyFill="1" applyBorder="1" applyAlignment="1" applyProtection="1">
      <alignment horizontal="right"/>
      <protection locked="0"/>
    </xf>
    <xf numFmtId="165" fontId="18" fillId="0" borderId="0" xfId="0" applyNumberFormat="1" applyFont="1" applyFill="1" applyBorder="1" applyAlignment="1">
      <alignment horizontal="right"/>
    </xf>
    <xf numFmtId="164" fontId="18" fillId="0" borderId="0" xfId="0" applyNumberFormat="1" applyFont="1" applyFill="1" applyBorder="1" applyAlignment="1">
      <alignment horizontal="right"/>
    </xf>
    <xf numFmtId="3" fontId="18" fillId="2" borderId="27" xfId="0" applyNumberFormat="1" applyFont="1" applyFill="1" applyBorder="1" applyAlignment="1" applyProtection="1">
      <alignment horizontal="right"/>
      <protection locked="0"/>
    </xf>
    <xf numFmtId="166" fontId="18" fillId="0" borderId="0" xfId="0" applyNumberFormat="1" applyFont="1" applyFill="1" applyBorder="1" applyAlignment="1">
      <alignment horizontal="right"/>
    </xf>
    <xf numFmtId="165" fontId="23" fillId="2" borderId="35" xfId="0" applyNumberFormat="1" applyFont="1" applyFill="1" applyBorder="1" applyAlignment="1" applyProtection="1">
      <alignment horizontal="right"/>
      <protection locked="0"/>
    </xf>
    <xf numFmtId="165" fontId="18" fillId="0" borderId="29" xfId="0" applyNumberFormat="1" applyFont="1" applyFill="1" applyBorder="1" applyAlignment="1">
      <alignment horizontal="right"/>
    </xf>
    <xf numFmtId="164" fontId="18" fillId="0" borderId="29" xfId="0" applyNumberFormat="1" applyFont="1" applyFill="1" applyBorder="1" applyAlignment="1">
      <alignment horizontal="right"/>
    </xf>
    <xf numFmtId="164" fontId="18" fillId="0" borderId="33" xfId="0" applyNumberFormat="1" applyFont="1" applyFill="1" applyBorder="1" applyAlignment="1">
      <alignment horizontal="right"/>
    </xf>
    <xf numFmtId="3" fontId="18" fillId="2" borderId="35" xfId="0" applyNumberFormat="1" applyFont="1" applyFill="1" applyBorder="1" applyAlignment="1" applyProtection="1">
      <alignment horizontal="right"/>
      <protection locked="0"/>
    </xf>
    <xf numFmtId="166" fontId="18" fillId="0" borderId="29" xfId="0" applyNumberFormat="1" applyFont="1" applyFill="1" applyBorder="1" applyAlignment="1">
      <alignment horizontal="right"/>
    </xf>
    <xf numFmtId="0" fontId="50" fillId="0" borderId="0" xfId="0" applyFont="1" applyFill="1" applyBorder="1" applyAlignment="1">
      <alignment horizontal="left"/>
    </xf>
    <xf numFmtId="0" fontId="24" fillId="0" borderId="0" xfId="0" applyFont="1" applyFill="1" applyBorder="1" applyAlignment="1">
      <alignment horizontal="right"/>
    </xf>
    <xf numFmtId="164" fontId="24" fillId="0" borderId="0" xfId="0" applyNumberFormat="1" applyFont="1" applyFill="1" applyBorder="1"/>
    <xf numFmtId="164" fontId="26" fillId="0" borderId="0" xfId="0" applyNumberFormat="1" applyFont="1" applyFill="1" applyBorder="1"/>
    <xf numFmtId="3" fontId="26" fillId="0" borderId="0" xfId="0" applyNumberFormat="1" applyFont="1" applyFill="1" applyBorder="1"/>
    <xf numFmtId="166" fontId="26" fillId="0" borderId="0" xfId="0" applyNumberFormat="1" applyFont="1"/>
    <xf numFmtId="0" fontId="24" fillId="0" borderId="1" xfId="0" applyFont="1" applyBorder="1" applyAlignment="1"/>
    <xf numFmtId="165" fontId="23" fillId="2" borderId="27" xfId="0" applyNumberFormat="1" applyFont="1" applyFill="1" applyBorder="1" applyAlignment="1" applyProtection="1">
      <alignment horizontal="center"/>
      <protection locked="0"/>
    </xf>
    <xf numFmtId="3" fontId="18" fillId="2" borderId="27" xfId="0" applyNumberFormat="1" applyFont="1" applyFill="1" applyBorder="1" applyAlignment="1" applyProtection="1">
      <alignment horizontal="center"/>
      <protection locked="0"/>
    </xf>
    <xf numFmtId="165" fontId="23" fillId="2" borderId="35" xfId="0" applyNumberFormat="1" applyFont="1" applyFill="1" applyBorder="1" applyAlignment="1">
      <alignment horizontal="center"/>
    </xf>
    <xf numFmtId="3" fontId="18" fillId="2" borderId="35" xfId="0" applyNumberFormat="1" applyFont="1" applyFill="1" applyBorder="1" applyAlignment="1" applyProtection="1">
      <alignment horizontal="center"/>
      <protection locked="0"/>
    </xf>
    <xf numFmtId="3" fontId="26" fillId="0" borderId="0" xfId="0" applyNumberFormat="1" applyFont="1" applyFill="1" applyBorder="1" applyAlignment="1">
      <alignment horizontal="center"/>
    </xf>
    <xf numFmtId="0" fontId="24" fillId="0" borderId="1" xfId="0" applyFont="1" applyBorder="1" applyAlignment="1">
      <alignment horizontal="center"/>
    </xf>
    <xf numFmtId="1" fontId="18" fillId="2" borderId="18" xfId="0" applyNumberFormat="1" applyFont="1" applyFill="1" applyBorder="1" applyAlignment="1" applyProtection="1">
      <alignment horizontal="center"/>
      <protection locked="0"/>
    </xf>
    <xf numFmtId="164" fontId="18" fillId="0" borderId="19" xfId="0" applyNumberFormat="1" applyFont="1" applyFill="1" applyBorder="1" applyProtection="1"/>
    <xf numFmtId="0" fontId="18" fillId="0" borderId="20" xfId="0" applyFont="1" applyFill="1" applyBorder="1" applyAlignment="1" applyProtection="1">
      <alignment horizontal="center"/>
    </xf>
    <xf numFmtId="164" fontId="18" fillId="0" borderId="19" xfId="0" applyNumberFormat="1" applyFont="1" applyFill="1" applyBorder="1" applyAlignment="1" applyProtection="1">
      <alignment horizontal="right"/>
    </xf>
    <xf numFmtId="164" fontId="21" fillId="0" borderId="0" xfId="1" applyNumberFormat="1" applyFont="1" applyProtection="1"/>
    <xf numFmtId="164" fontId="21" fillId="0" borderId="1" xfId="1" applyNumberFormat="1" applyFont="1" applyBorder="1" applyProtection="1"/>
    <xf numFmtId="164" fontId="18" fillId="0" borderId="1" xfId="0" applyNumberFormat="1" applyFont="1" applyBorder="1" applyProtection="1"/>
    <xf numFmtId="0" fontId="18" fillId="9" borderId="21" xfId="0" applyFont="1" applyFill="1" applyBorder="1" applyAlignment="1" applyProtection="1">
      <alignment horizontal="center"/>
      <protection locked="0"/>
    </xf>
    <xf numFmtId="0" fontId="18" fillId="2" borderId="16" xfId="0" applyFont="1" applyFill="1" applyBorder="1" applyAlignment="1" applyProtection="1">
      <alignment horizontal="center"/>
      <protection locked="0"/>
    </xf>
    <xf numFmtId="164" fontId="18" fillId="2" borderId="16" xfId="0" applyNumberFormat="1" applyFont="1" applyFill="1" applyBorder="1" applyAlignment="1" applyProtection="1">
      <alignment horizontal="center"/>
      <protection locked="0"/>
    </xf>
    <xf numFmtId="0" fontId="18" fillId="2" borderId="0" xfId="0" applyFont="1" applyFill="1" applyBorder="1" applyAlignment="1" applyProtection="1">
      <alignment horizontal="center"/>
      <protection locked="0"/>
    </xf>
    <xf numFmtId="164" fontId="18" fillId="2" borderId="0" xfId="0" applyNumberFormat="1" applyFont="1" applyFill="1" applyBorder="1" applyAlignment="1" applyProtection="1">
      <alignment horizontal="center"/>
      <protection locked="0"/>
    </xf>
    <xf numFmtId="0" fontId="18" fillId="9" borderId="1" xfId="0" applyFont="1" applyFill="1" applyBorder="1" applyAlignment="1" applyProtection="1">
      <alignment horizontal="center"/>
      <protection locked="0"/>
    </xf>
    <xf numFmtId="0" fontId="18" fillId="9" borderId="22" xfId="0" applyFont="1" applyFill="1" applyBorder="1" applyAlignment="1" applyProtection="1">
      <alignment horizontal="center"/>
      <protection locked="0"/>
    </xf>
    <xf numFmtId="0" fontId="18" fillId="2" borderId="37" xfId="0" applyFont="1" applyFill="1" applyBorder="1" applyAlignment="1" applyProtection="1">
      <alignment horizontal="center"/>
      <protection locked="0"/>
    </xf>
    <xf numFmtId="1" fontId="18" fillId="2" borderId="14" xfId="0" applyNumberFormat="1" applyFont="1" applyFill="1" applyBorder="1" applyAlignment="1" applyProtection="1">
      <alignment horizontal="center"/>
      <protection locked="0"/>
    </xf>
    <xf numFmtId="164" fontId="18" fillId="2" borderId="14" xfId="0" applyNumberFormat="1" applyFont="1" applyFill="1" applyBorder="1" applyAlignment="1" applyProtection="1">
      <alignment horizontal="center"/>
      <protection locked="0"/>
    </xf>
    <xf numFmtId="0" fontId="32" fillId="2" borderId="26" xfId="0" applyFont="1" applyFill="1" applyBorder="1" applyAlignment="1" applyProtection="1">
      <alignment horizontal="center" wrapText="1"/>
      <protection locked="0"/>
    </xf>
    <xf numFmtId="164" fontId="32" fillId="2" borderId="27" xfId="0" applyNumberFormat="1" applyFont="1" applyFill="1" applyBorder="1" applyAlignment="1" applyProtection="1">
      <alignment horizontal="center" wrapText="1"/>
      <protection locked="0"/>
    </xf>
    <xf numFmtId="164" fontId="18" fillId="2" borderId="26" xfId="0" applyNumberFormat="1" applyFont="1" applyFill="1" applyBorder="1" applyAlignment="1" applyProtection="1">
      <alignment horizontal="center"/>
      <protection locked="0"/>
    </xf>
    <xf numFmtId="0" fontId="32" fillId="2" borderId="27" xfId="0" applyFont="1" applyFill="1" applyBorder="1" applyAlignment="1" applyProtection="1">
      <alignment horizontal="center" wrapText="1"/>
      <protection locked="0"/>
    </xf>
    <xf numFmtId="2" fontId="15" fillId="2" borderId="19" xfId="0" applyNumberFormat="1" applyFont="1" applyFill="1" applyBorder="1" applyAlignment="1" applyProtection="1">
      <alignment horizontal="center"/>
      <protection locked="0"/>
    </xf>
    <xf numFmtId="2" fontId="15" fillId="2" borderId="0" xfId="0" applyNumberFormat="1" applyFont="1" applyFill="1" applyBorder="1" applyAlignment="1" applyProtection="1">
      <alignment horizontal="center"/>
      <protection locked="0"/>
    </xf>
    <xf numFmtId="2" fontId="15" fillId="2" borderId="21" xfId="0" applyNumberFormat="1" applyFont="1" applyFill="1" applyBorder="1" applyAlignment="1" applyProtection="1">
      <alignment horizontal="center"/>
      <protection locked="0"/>
    </xf>
    <xf numFmtId="2" fontId="15" fillId="2" borderId="1" xfId="0" applyNumberFormat="1" applyFont="1" applyFill="1" applyBorder="1" applyAlignment="1" applyProtection="1">
      <alignment horizontal="center"/>
      <protection locked="0"/>
    </xf>
    <xf numFmtId="0" fontId="18" fillId="2" borderId="26" xfId="0" applyFont="1" applyFill="1" applyBorder="1" applyAlignment="1" applyProtection="1">
      <alignment horizontal="center"/>
      <protection locked="0"/>
    </xf>
    <xf numFmtId="164" fontId="18" fillId="0" borderId="0" xfId="0" applyNumberFormat="1" applyFont="1" applyAlignment="1">
      <alignment horizontal="center"/>
    </xf>
    <xf numFmtId="0" fontId="18" fillId="0" borderId="1" xfId="0" applyFont="1" applyBorder="1"/>
    <xf numFmtId="164" fontId="18" fillId="0" borderId="1" xfId="0" applyNumberFormat="1" applyFont="1" applyBorder="1" applyAlignment="1">
      <alignment horizontal="center"/>
    </xf>
    <xf numFmtId="164" fontId="18" fillId="0" borderId="1" xfId="0" applyNumberFormat="1" applyFont="1" applyBorder="1"/>
    <xf numFmtId="39" fontId="18" fillId="0" borderId="0" xfId="0" applyNumberFormat="1" applyFont="1"/>
    <xf numFmtId="39" fontId="18" fillId="0" borderId="1" xfId="0" applyNumberFormat="1" applyFont="1" applyBorder="1"/>
    <xf numFmtId="164" fontId="18" fillId="0" borderId="21" xfId="0" applyNumberFormat="1" applyFont="1" applyBorder="1"/>
    <xf numFmtId="0" fontId="18" fillId="0" borderId="0" xfId="0" applyNumberFormat="1" applyFont="1"/>
    <xf numFmtId="0" fontId="18" fillId="0" borderId="1" xfId="0" applyNumberFormat="1" applyFont="1" applyBorder="1"/>
    <xf numFmtId="39" fontId="18" fillId="0" borderId="0" xfId="0" applyNumberFormat="1" applyFont="1" applyBorder="1"/>
    <xf numFmtId="164" fontId="18" fillId="0" borderId="0" xfId="0" applyNumberFormat="1" applyFont="1" applyBorder="1" applyAlignment="1">
      <alignment horizontal="center"/>
    </xf>
    <xf numFmtId="0" fontId="26" fillId="0" borderId="1" xfId="0" applyFont="1" applyBorder="1"/>
    <xf numFmtId="0" fontId="27" fillId="0" borderId="0" xfId="0" applyFont="1"/>
    <xf numFmtId="0" fontId="18" fillId="2" borderId="18" xfId="0" applyFont="1" applyFill="1" applyBorder="1" applyProtection="1">
      <protection locked="0"/>
    </xf>
    <xf numFmtId="0" fontId="18" fillId="2" borderId="16" xfId="0" applyFont="1" applyFill="1" applyBorder="1" applyProtection="1">
      <protection locked="0"/>
    </xf>
    <xf numFmtId="2" fontId="18" fillId="2" borderId="25" xfId="0" applyNumberFormat="1" applyFont="1" applyFill="1" applyBorder="1" applyAlignment="1" applyProtection="1">
      <alignment horizontal="center"/>
      <protection locked="0"/>
    </xf>
    <xf numFmtId="164" fontId="18" fillId="0" borderId="44" xfId="0" applyNumberFormat="1" applyFont="1" applyBorder="1"/>
    <xf numFmtId="39" fontId="18" fillId="2" borderId="16" xfId="2" applyNumberFormat="1" applyFont="1" applyFill="1" applyBorder="1" applyProtection="1">
      <protection locked="0"/>
    </xf>
    <xf numFmtId="164" fontId="18" fillId="0" borderId="46" xfId="0" applyNumberFormat="1" applyFont="1" applyBorder="1"/>
    <xf numFmtId="0" fontId="18" fillId="2" borderId="19" xfId="0" applyFont="1" applyFill="1" applyBorder="1" applyProtection="1">
      <protection locked="0"/>
    </xf>
    <xf numFmtId="0" fontId="18" fillId="2" borderId="0" xfId="0" applyFont="1" applyFill="1" applyBorder="1" applyProtection="1">
      <protection locked="0"/>
    </xf>
    <xf numFmtId="2" fontId="18" fillId="2" borderId="20" xfId="0" applyNumberFormat="1" applyFont="1" applyFill="1" applyBorder="1" applyAlignment="1" applyProtection="1">
      <alignment horizontal="center"/>
      <protection locked="0"/>
    </xf>
    <xf numFmtId="164" fontId="18" fillId="0" borderId="23" xfId="0" applyNumberFormat="1" applyFont="1" applyBorder="1"/>
    <xf numFmtId="39" fontId="18" fillId="2" borderId="0" xfId="2" applyNumberFormat="1" applyFont="1" applyFill="1" applyBorder="1" applyProtection="1">
      <protection locked="0"/>
    </xf>
    <xf numFmtId="164" fontId="18" fillId="0" borderId="47" xfId="0" applyNumberFormat="1" applyFont="1" applyBorder="1"/>
    <xf numFmtId="0" fontId="18" fillId="2" borderId="21" xfId="0" applyFont="1" applyFill="1" applyBorder="1" applyProtection="1">
      <protection locked="0"/>
    </xf>
    <xf numFmtId="0" fontId="18" fillId="2" borderId="1" xfId="0" applyFont="1" applyFill="1" applyBorder="1" applyProtection="1">
      <protection locked="0"/>
    </xf>
    <xf numFmtId="164" fontId="18" fillId="2" borderId="1" xfId="0" applyNumberFormat="1" applyFont="1" applyFill="1" applyBorder="1" applyAlignment="1" applyProtection="1">
      <alignment horizontal="center"/>
      <protection locked="0"/>
    </xf>
    <xf numFmtId="2" fontId="18" fillId="2" borderId="22" xfId="0" applyNumberFormat="1" applyFont="1" applyFill="1" applyBorder="1" applyAlignment="1" applyProtection="1">
      <alignment horizontal="center"/>
      <protection locked="0"/>
    </xf>
    <xf numFmtId="164" fontId="18" fillId="0" borderId="45" xfId="0" applyNumberFormat="1" applyFont="1" applyBorder="1"/>
    <xf numFmtId="39" fontId="18" fillId="2" borderId="1" xfId="2" applyNumberFormat="1" applyFont="1" applyFill="1" applyBorder="1" applyProtection="1">
      <protection locked="0"/>
    </xf>
    <xf numFmtId="164" fontId="18" fillId="0" borderId="0" xfId="0" applyNumberFormat="1" applyFont="1" applyFill="1" applyBorder="1" applyAlignment="1">
      <alignment horizontal="center"/>
    </xf>
    <xf numFmtId="2" fontId="18" fillId="0" borderId="0" xfId="0" applyNumberFormat="1" applyFont="1" applyFill="1" applyBorder="1" applyAlignment="1">
      <alignment horizontal="center"/>
    </xf>
    <xf numFmtId="39" fontId="18" fillId="0" borderId="0" xfId="2" applyNumberFormat="1" applyFont="1" applyFill="1" applyBorder="1"/>
    <xf numFmtId="0" fontId="24" fillId="0" borderId="0" xfId="0" applyFont="1" applyBorder="1"/>
    <xf numFmtId="0" fontId="24" fillId="0" borderId="0" xfId="0" applyFont="1" applyBorder="1" applyAlignment="1">
      <alignment horizontal="center"/>
    </xf>
    <xf numFmtId="0" fontId="24" fillId="0" borderId="12" xfId="0" applyFont="1" applyBorder="1"/>
    <xf numFmtId="164" fontId="18" fillId="2" borderId="16" xfId="0" applyNumberFormat="1" applyFont="1" applyFill="1" applyBorder="1" applyProtection="1">
      <protection locked="0"/>
    </xf>
    <xf numFmtId="164" fontId="18" fillId="2" borderId="0" xfId="0" applyNumberFormat="1" applyFont="1" applyFill="1" applyBorder="1" applyProtection="1">
      <protection locked="0"/>
    </xf>
    <xf numFmtId="0" fontId="18" fillId="0" borderId="0" xfId="0" applyFont="1" applyBorder="1"/>
    <xf numFmtId="3" fontId="18" fillId="0" borderId="19" xfId="0" applyNumberFormat="1" applyFont="1" applyFill="1" applyBorder="1" applyAlignment="1" applyProtection="1"/>
    <xf numFmtId="0" fontId="24" fillId="0" borderId="43" xfId="0" applyFont="1" applyFill="1" applyBorder="1" applyAlignment="1" applyProtection="1"/>
    <xf numFmtId="0" fontId="23" fillId="2" borderId="37" xfId="0" applyFont="1" applyFill="1" applyBorder="1" applyAlignment="1" applyProtection="1">
      <alignment horizontal="center"/>
      <protection locked="0"/>
    </xf>
    <xf numFmtId="0" fontId="18" fillId="0" borderId="19" xfId="0" applyFont="1" applyFill="1" applyBorder="1" applyAlignment="1" applyProtection="1">
      <alignment horizontal="right"/>
    </xf>
    <xf numFmtId="0" fontId="24" fillId="0" borderId="42" xfId="0" applyFont="1" applyFill="1" applyBorder="1" applyAlignment="1" applyProtection="1">
      <alignment horizontal="left"/>
    </xf>
    <xf numFmtId="165" fontId="43" fillId="0" borderId="0" xfId="0" applyNumberFormat="1" applyFont="1" applyFill="1" applyBorder="1" applyAlignment="1" applyProtection="1">
      <alignment horizontal="center"/>
      <protection locked="0"/>
    </xf>
    <xf numFmtId="0" fontId="43" fillId="0" borderId="0" xfId="0" applyFont="1" applyProtection="1">
      <protection locked="0"/>
    </xf>
    <xf numFmtId="164" fontId="43" fillId="2" borderId="26" xfId="0" applyNumberFormat="1" applyFont="1" applyFill="1" applyBorder="1" applyAlignment="1" applyProtection="1">
      <alignment horizontal="center"/>
      <protection locked="0"/>
    </xf>
    <xf numFmtId="164" fontId="43" fillId="2" borderId="27" xfId="0" applyNumberFormat="1" applyFont="1" applyFill="1" applyBorder="1" applyAlignment="1" applyProtection="1">
      <alignment horizontal="center"/>
      <protection locked="0"/>
    </xf>
    <xf numFmtId="164" fontId="43" fillId="2" borderId="28" xfId="0" applyNumberFormat="1" applyFont="1" applyFill="1" applyBorder="1" applyAlignment="1" applyProtection="1">
      <alignment horizontal="center"/>
      <protection locked="0"/>
    </xf>
    <xf numFmtId="0" fontId="43" fillId="2" borderId="19" xfId="0" applyFont="1" applyFill="1" applyBorder="1" applyAlignment="1" applyProtection="1">
      <alignment horizontal="center"/>
      <protection locked="0"/>
    </xf>
    <xf numFmtId="0" fontId="43" fillId="2" borderId="37" xfId="0" applyFont="1" applyFill="1" applyBorder="1" applyAlignment="1" applyProtection="1">
      <alignment horizontal="center"/>
      <protection locked="0"/>
    </xf>
    <xf numFmtId="0" fontId="25" fillId="0" borderId="0" xfId="0" applyFont="1" applyFill="1" applyBorder="1" applyAlignment="1" applyProtection="1">
      <alignment horizontal="left"/>
    </xf>
    <xf numFmtId="0" fontId="12" fillId="0" borderId="0" xfId="0" applyFont="1" applyFill="1" applyBorder="1" applyAlignment="1" applyProtection="1">
      <alignment horizontal="left" vertical="top" wrapText="1"/>
    </xf>
    <xf numFmtId="0" fontId="15" fillId="0" borderId="1" xfId="0" applyFont="1" applyBorder="1" applyProtection="1"/>
    <xf numFmtId="0" fontId="12"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25" fillId="0" borderId="0" xfId="0" applyFont="1" applyAlignment="1" applyProtection="1">
      <alignment horizontal="center" wrapText="1"/>
    </xf>
    <xf numFmtId="0" fontId="30" fillId="0" borderId="43" xfId="0" applyFont="1" applyFill="1" applyBorder="1" applyAlignment="1" applyProtection="1">
      <alignment horizontal="center" wrapText="1"/>
    </xf>
    <xf numFmtId="0" fontId="30" fillId="0" borderId="42" xfId="0" applyFont="1" applyFill="1" applyBorder="1" applyAlignment="1" applyProtection="1">
      <alignment horizontal="center" wrapText="1"/>
    </xf>
    <xf numFmtId="2" fontId="15" fillId="0" borderId="0" xfId="0" applyNumberFormat="1" applyFont="1" applyFill="1" applyBorder="1" applyAlignment="1" applyProtection="1">
      <alignment horizontal="left" wrapText="1"/>
    </xf>
    <xf numFmtId="0" fontId="20" fillId="2" borderId="18" xfId="0" applyFont="1" applyFill="1" applyBorder="1" applyAlignment="1" applyProtection="1">
      <alignment horizontal="center" wrapText="1"/>
    </xf>
    <xf numFmtId="0" fontId="20" fillId="2" borderId="16" xfId="0" applyFont="1" applyFill="1" applyBorder="1" applyAlignment="1" applyProtection="1">
      <alignment horizontal="center" wrapText="1"/>
    </xf>
    <xf numFmtId="0" fontId="30" fillId="0" borderId="40" xfId="0" applyFont="1" applyFill="1" applyBorder="1" applyAlignment="1" applyProtection="1">
      <alignment horizontal="center"/>
    </xf>
    <xf numFmtId="0" fontId="30" fillId="0" borderId="41" xfId="0" applyFont="1" applyFill="1" applyBorder="1" applyAlignment="1" applyProtection="1">
      <alignment horizontal="center"/>
    </xf>
    <xf numFmtId="0" fontId="20" fillId="0" borderId="0" xfId="0" applyFont="1" applyBorder="1" applyAlignment="1">
      <alignment horizontal="center"/>
    </xf>
    <xf numFmtId="0" fontId="24" fillId="0" borderId="1" xfId="0" applyFont="1" applyBorder="1" applyAlignment="1" applyProtection="1">
      <alignment horizontal="center"/>
    </xf>
    <xf numFmtId="0" fontId="24" fillId="0" borderId="1" xfId="0" applyFont="1" applyBorder="1" applyAlignment="1">
      <alignment horizontal="center"/>
    </xf>
    <xf numFmtId="167" fontId="26" fillId="0" borderId="18" xfId="0" applyNumberFormat="1" applyFont="1" applyBorder="1" applyAlignment="1">
      <alignment horizontal="center" wrapText="1"/>
    </xf>
    <xf numFmtId="167" fontId="26" fillId="0" borderId="16" xfId="0" applyNumberFormat="1" applyFont="1" applyBorder="1" applyAlignment="1">
      <alignment horizontal="center" wrapText="1"/>
    </xf>
    <xf numFmtId="0" fontId="15" fillId="0" borderId="0" xfId="0" applyFont="1" applyAlignment="1" applyProtection="1">
      <alignment horizontal="center" wrapText="1"/>
    </xf>
    <xf numFmtId="0" fontId="5" fillId="2" borderId="0" xfId="0" applyFont="1" applyFill="1" applyAlignment="1">
      <alignment horizontal="center"/>
    </xf>
    <xf numFmtId="0" fontId="0" fillId="2" borderId="0" xfId="0" applyFill="1" applyAlignment="1">
      <alignment horizontal="center"/>
    </xf>
    <xf numFmtId="0" fontId="14" fillId="0" borderId="0" xfId="0" applyFont="1" applyFill="1" applyAlignment="1">
      <alignment horizontal="center" wrapText="1"/>
    </xf>
    <xf numFmtId="0" fontId="0" fillId="0" borderId="0" xfId="0" applyFill="1" applyBorder="1" applyAlignment="1">
      <alignment horizontal="center"/>
    </xf>
    <xf numFmtId="0" fontId="1" fillId="0" borderId="0" xfId="0" applyFont="1" applyFill="1" applyBorder="1" applyAlignment="1">
      <alignment horizontal="left"/>
    </xf>
    <xf numFmtId="0" fontId="0" fillId="0" borderId="0" xfId="0"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99CC"/>
      <color rgb="FFFFFFCC"/>
      <color rgb="FFFFFFFF"/>
      <color rgb="FF66FF33"/>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514350</xdr:colOff>
      <xdr:row>1</xdr:row>
      <xdr:rowOff>1066800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8" y="178594"/>
          <a:ext cx="3514725" cy="1066800"/>
        </a:xfrm>
        <a:prstGeom prst="rect">
          <a:avLst/>
        </a:prstGeom>
      </xdr:spPr>
    </xdr:pic>
    <xdr:clientData/>
  </xdr:twoCellAnchor>
  <xdr:twoCellAnchor editAs="oneCell">
    <xdr:from>
      <xdr:col>5</xdr:col>
      <xdr:colOff>857250</xdr:colOff>
      <xdr:row>1</xdr:row>
      <xdr:rowOff>45404</xdr:rowOff>
    </xdr:from>
    <xdr:to>
      <xdr:col>5</xdr:col>
      <xdr:colOff>1939766</xdr:colOff>
      <xdr:row>1</xdr:row>
      <xdr:rowOff>1087987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34625" y="223998"/>
          <a:ext cx="1082516" cy="1042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423334</xdr:colOff>
      <xdr:row>3</xdr:row>
      <xdr:rowOff>52917</xdr:rowOff>
    </xdr:from>
    <xdr:to>
      <xdr:col>2</xdr:col>
      <xdr:colOff>148166</xdr:colOff>
      <xdr:row>12</xdr:row>
      <xdr:rowOff>127000</xdr:rowOff>
    </xdr:to>
    <xdr:sp macro="" textlink="">
      <xdr:nvSpPr>
        <xdr:cNvPr id="2" name="Left Brace 1"/>
        <xdr:cNvSpPr/>
      </xdr:nvSpPr>
      <xdr:spPr>
        <a:xfrm>
          <a:off x="785284" y="243417"/>
          <a:ext cx="14393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13</xdr:row>
      <xdr:rowOff>42333</xdr:rowOff>
    </xdr:from>
    <xdr:to>
      <xdr:col>2</xdr:col>
      <xdr:colOff>158748</xdr:colOff>
      <xdr:row>22</xdr:row>
      <xdr:rowOff>116416</xdr:rowOff>
    </xdr:to>
    <xdr:sp macro="" textlink="">
      <xdr:nvSpPr>
        <xdr:cNvPr id="3" name="Left Brace 2"/>
        <xdr:cNvSpPr/>
      </xdr:nvSpPr>
      <xdr:spPr>
        <a:xfrm>
          <a:off x="776816" y="2137833"/>
          <a:ext cx="16298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423334</xdr:colOff>
      <xdr:row>25</xdr:row>
      <xdr:rowOff>52917</xdr:rowOff>
    </xdr:from>
    <xdr:to>
      <xdr:col>2</xdr:col>
      <xdr:colOff>148166</xdr:colOff>
      <xdr:row>34</xdr:row>
      <xdr:rowOff>127000</xdr:rowOff>
    </xdr:to>
    <xdr:sp macro="" textlink="">
      <xdr:nvSpPr>
        <xdr:cNvPr id="4" name="Left Brace 3"/>
        <xdr:cNvSpPr/>
      </xdr:nvSpPr>
      <xdr:spPr>
        <a:xfrm>
          <a:off x="785284" y="4548717"/>
          <a:ext cx="14393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35</xdr:row>
      <xdr:rowOff>42333</xdr:rowOff>
    </xdr:from>
    <xdr:to>
      <xdr:col>2</xdr:col>
      <xdr:colOff>158748</xdr:colOff>
      <xdr:row>44</xdr:row>
      <xdr:rowOff>116416</xdr:rowOff>
    </xdr:to>
    <xdr:sp macro="" textlink="">
      <xdr:nvSpPr>
        <xdr:cNvPr id="5" name="Left Brace 4"/>
        <xdr:cNvSpPr/>
      </xdr:nvSpPr>
      <xdr:spPr>
        <a:xfrm>
          <a:off x="776816" y="6443133"/>
          <a:ext cx="16298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423334</xdr:colOff>
      <xdr:row>25</xdr:row>
      <xdr:rowOff>52917</xdr:rowOff>
    </xdr:from>
    <xdr:to>
      <xdr:col>2</xdr:col>
      <xdr:colOff>148166</xdr:colOff>
      <xdr:row>34</xdr:row>
      <xdr:rowOff>127000</xdr:rowOff>
    </xdr:to>
    <xdr:sp macro="" textlink="">
      <xdr:nvSpPr>
        <xdr:cNvPr id="32" name="Left Brace 31"/>
        <xdr:cNvSpPr/>
      </xdr:nvSpPr>
      <xdr:spPr>
        <a:xfrm>
          <a:off x="785284" y="4548717"/>
          <a:ext cx="14393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35</xdr:row>
      <xdr:rowOff>42333</xdr:rowOff>
    </xdr:from>
    <xdr:to>
      <xdr:col>2</xdr:col>
      <xdr:colOff>158748</xdr:colOff>
      <xdr:row>44</xdr:row>
      <xdr:rowOff>116416</xdr:rowOff>
    </xdr:to>
    <xdr:sp macro="" textlink="">
      <xdr:nvSpPr>
        <xdr:cNvPr id="33" name="Left Brace 32"/>
        <xdr:cNvSpPr/>
      </xdr:nvSpPr>
      <xdr:spPr>
        <a:xfrm>
          <a:off x="776816" y="6443133"/>
          <a:ext cx="16298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423334</xdr:colOff>
      <xdr:row>3</xdr:row>
      <xdr:rowOff>52917</xdr:rowOff>
    </xdr:from>
    <xdr:to>
      <xdr:col>2</xdr:col>
      <xdr:colOff>148166</xdr:colOff>
      <xdr:row>12</xdr:row>
      <xdr:rowOff>127000</xdr:rowOff>
    </xdr:to>
    <xdr:sp macro="" textlink="">
      <xdr:nvSpPr>
        <xdr:cNvPr id="104" name="Left Brace 103"/>
        <xdr:cNvSpPr/>
      </xdr:nvSpPr>
      <xdr:spPr>
        <a:xfrm>
          <a:off x="785284" y="243417"/>
          <a:ext cx="14393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13</xdr:row>
      <xdr:rowOff>42333</xdr:rowOff>
    </xdr:from>
    <xdr:to>
      <xdr:col>2</xdr:col>
      <xdr:colOff>158748</xdr:colOff>
      <xdr:row>22</xdr:row>
      <xdr:rowOff>116416</xdr:rowOff>
    </xdr:to>
    <xdr:sp macro="" textlink="">
      <xdr:nvSpPr>
        <xdr:cNvPr id="105" name="Left Brace 104"/>
        <xdr:cNvSpPr/>
      </xdr:nvSpPr>
      <xdr:spPr>
        <a:xfrm>
          <a:off x="776816" y="2137833"/>
          <a:ext cx="16298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423334</xdr:colOff>
      <xdr:row>25</xdr:row>
      <xdr:rowOff>52917</xdr:rowOff>
    </xdr:from>
    <xdr:to>
      <xdr:col>2</xdr:col>
      <xdr:colOff>148166</xdr:colOff>
      <xdr:row>34</xdr:row>
      <xdr:rowOff>127000</xdr:rowOff>
    </xdr:to>
    <xdr:sp macro="" textlink="">
      <xdr:nvSpPr>
        <xdr:cNvPr id="106" name="Left Brace 105"/>
        <xdr:cNvSpPr/>
      </xdr:nvSpPr>
      <xdr:spPr>
        <a:xfrm>
          <a:off x="785284" y="4548717"/>
          <a:ext cx="14393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35</xdr:row>
      <xdr:rowOff>42333</xdr:rowOff>
    </xdr:from>
    <xdr:to>
      <xdr:col>2</xdr:col>
      <xdr:colOff>158748</xdr:colOff>
      <xdr:row>44</xdr:row>
      <xdr:rowOff>116416</xdr:rowOff>
    </xdr:to>
    <xdr:sp macro="" textlink="">
      <xdr:nvSpPr>
        <xdr:cNvPr id="107" name="Left Brace 106"/>
        <xdr:cNvSpPr/>
      </xdr:nvSpPr>
      <xdr:spPr>
        <a:xfrm>
          <a:off x="776816" y="6443133"/>
          <a:ext cx="16298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423334</xdr:colOff>
      <xdr:row>25</xdr:row>
      <xdr:rowOff>52917</xdr:rowOff>
    </xdr:from>
    <xdr:to>
      <xdr:col>2</xdr:col>
      <xdr:colOff>148166</xdr:colOff>
      <xdr:row>34</xdr:row>
      <xdr:rowOff>127000</xdr:rowOff>
    </xdr:to>
    <xdr:sp macro="" textlink="">
      <xdr:nvSpPr>
        <xdr:cNvPr id="134" name="Left Brace 133"/>
        <xdr:cNvSpPr/>
      </xdr:nvSpPr>
      <xdr:spPr>
        <a:xfrm>
          <a:off x="785284" y="4548717"/>
          <a:ext cx="14393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35</xdr:row>
      <xdr:rowOff>42333</xdr:rowOff>
    </xdr:from>
    <xdr:to>
      <xdr:col>2</xdr:col>
      <xdr:colOff>158748</xdr:colOff>
      <xdr:row>44</xdr:row>
      <xdr:rowOff>116416</xdr:rowOff>
    </xdr:to>
    <xdr:sp macro="" textlink="">
      <xdr:nvSpPr>
        <xdr:cNvPr id="135" name="Left Brace 134"/>
        <xdr:cNvSpPr/>
      </xdr:nvSpPr>
      <xdr:spPr>
        <a:xfrm>
          <a:off x="776816" y="6443133"/>
          <a:ext cx="162982"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819150</xdr:colOff>
      <xdr:row>23</xdr:row>
      <xdr:rowOff>95250</xdr:rowOff>
    </xdr:from>
    <xdr:to>
      <xdr:col>3</xdr:col>
      <xdr:colOff>370332</xdr:colOff>
      <xdr:row>24</xdr:row>
      <xdr:rowOff>466725</xdr:rowOff>
    </xdr:to>
    <xdr:sp macro="" textlink="">
      <xdr:nvSpPr>
        <xdr:cNvPr id="15" name="Up Arrow 14"/>
        <xdr:cNvSpPr/>
      </xdr:nvSpPr>
      <xdr:spPr>
        <a:xfrm>
          <a:off x="1962150" y="4476750"/>
          <a:ext cx="484632" cy="5619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4705350</xdr:colOff>
      <xdr:row>44</xdr:row>
      <xdr:rowOff>142875</xdr:rowOff>
    </xdr:from>
    <xdr:to>
      <xdr:col>5</xdr:col>
      <xdr:colOff>333375</xdr:colOff>
      <xdr:row>46</xdr:row>
      <xdr:rowOff>246507</xdr:rowOff>
    </xdr:to>
    <xdr:sp macro="" textlink="">
      <xdr:nvSpPr>
        <xdr:cNvPr id="7" name="Left Arrow 6"/>
        <xdr:cNvSpPr/>
      </xdr:nvSpPr>
      <xdr:spPr>
        <a:xfrm>
          <a:off x="6781800" y="8896350"/>
          <a:ext cx="581025" cy="48463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4391025</xdr:colOff>
      <xdr:row>23</xdr:row>
      <xdr:rowOff>133350</xdr:rowOff>
    </xdr:from>
    <xdr:to>
      <xdr:col>7</xdr:col>
      <xdr:colOff>84582</xdr:colOff>
      <xdr:row>24</xdr:row>
      <xdr:rowOff>473582</xdr:rowOff>
    </xdr:to>
    <xdr:sp macro="" textlink="">
      <xdr:nvSpPr>
        <xdr:cNvPr id="8" name="Down Arrow 7"/>
        <xdr:cNvSpPr/>
      </xdr:nvSpPr>
      <xdr:spPr>
        <a:xfrm>
          <a:off x="12039600" y="4514850"/>
          <a:ext cx="484632" cy="53073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4762499</xdr:colOff>
      <xdr:row>3</xdr:row>
      <xdr:rowOff>9525</xdr:rowOff>
    </xdr:from>
    <xdr:to>
      <xdr:col>4</xdr:col>
      <xdr:colOff>359281</xdr:colOff>
      <xdr:row>5</xdr:row>
      <xdr:rowOff>142875</xdr:rowOff>
    </xdr:to>
    <xdr:sp macro="" textlink="">
      <xdr:nvSpPr>
        <xdr:cNvPr id="10" name="Right Arrow 9"/>
        <xdr:cNvSpPr/>
      </xdr:nvSpPr>
      <xdr:spPr>
        <a:xfrm>
          <a:off x="6838949" y="581025"/>
          <a:ext cx="387857" cy="514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423334</xdr:colOff>
      <xdr:row>1</xdr:row>
      <xdr:rowOff>52917</xdr:rowOff>
    </xdr:from>
    <xdr:to>
      <xdr:col>2</xdr:col>
      <xdr:colOff>148166</xdr:colOff>
      <xdr:row>10</xdr:row>
      <xdr:rowOff>127000</xdr:rowOff>
    </xdr:to>
    <xdr:sp macro="" textlink="">
      <xdr:nvSpPr>
        <xdr:cNvPr id="6" name="Left Brace 5"/>
        <xdr:cNvSpPr/>
      </xdr:nvSpPr>
      <xdr:spPr>
        <a:xfrm>
          <a:off x="1037167" y="243417"/>
          <a:ext cx="338666"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11</xdr:row>
      <xdr:rowOff>42333</xdr:rowOff>
    </xdr:from>
    <xdr:to>
      <xdr:col>2</xdr:col>
      <xdr:colOff>158748</xdr:colOff>
      <xdr:row>20</xdr:row>
      <xdr:rowOff>116416</xdr:rowOff>
    </xdr:to>
    <xdr:sp macro="" textlink="">
      <xdr:nvSpPr>
        <xdr:cNvPr id="11" name="Left Brace 10"/>
        <xdr:cNvSpPr/>
      </xdr:nvSpPr>
      <xdr:spPr>
        <a:xfrm>
          <a:off x="1047749" y="2137833"/>
          <a:ext cx="338666"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423334</xdr:colOff>
      <xdr:row>23</xdr:row>
      <xdr:rowOff>52917</xdr:rowOff>
    </xdr:from>
    <xdr:to>
      <xdr:col>2</xdr:col>
      <xdr:colOff>148166</xdr:colOff>
      <xdr:row>32</xdr:row>
      <xdr:rowOff>127000</xdr:rowOff>
    </xdr:to>
    <xdr:sp macro="" textlink="">
      <xdr:nvSpPr>
        <xdr:cNvPr id="12" name="Left Brace 11"/>
        <xdr:cNvSpPr/>
      </xdr:nvSpPr>
      <xdr:spPr>
        <a:xfrm>
          <a:off x="1037167" y="243417"/>
          <a:ext cx="338666"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33</xdr:row>
      <xdr:rowOff>42333</xdr:rowOff>
    </xdr:from>
    <xdr:to>
      <xdr:col>2</xdr:col>
      <xdr:colOff>158748</xdr:colOff>
      <xdr:row>42</xdr:row>
      <xdr:rowOff>116416</xdr:rowOff>
    </xdr:to>
    <xdr:sp macro="" textlink="">
      <xdr:nvSpPr>
        <xdr:cNvPr id="13" name="Left Brace 12"/>
        <xdr:cNvSpPr/>
      </xdr:nvSpPr>
      <xdr:spPr>
        <a:xfrm>
          <a:off x="1047749" y="2137833"/>
          <a:ext cx="338666"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613834</xdr:colOff>
      <xdr:row>1</xdr:row>
      <xdr:rowOff>148166</xdr:rowOff>
    </xdr:from>
    <xdr:to>
      <xdr:col>6</xdr:col>
      <xdr:colOff>95250</xdr:colOff>
      <xdr:row>11</xdr:row>
      <xdr:rowOff>31750</xdr:rowOff>
    </xdr:to>
    <xdr:sp macro="" textlink="">
      <xdr:nvSpPr>
        <xdr:cNvPr id="21" name="Down Arrow 20"/>
        <xdr:cNvSpPr/>
      </xdr:nvSpPr>
      <xdr:spPr>
        <a:xfrm>
          <a:off x="7725834" y="338666"/>
          <a:ext cx="105833" cy="178858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910162</xdr:colOff>
      <xdr:row>11</xdr:row>
      <xdr:rowOff>148167</xdr:rowOff>
    </xdr:from>
    <xdr:to>
      <xdr:col>3</xdr:col>
      <xdr:colOff>74083</xdr:colOff>
      <xdr:row>23</xdr:row>
      <xdr:rowOff>42332</xdr:rowOff>
    </xdr:to>
    <xdr:sp macro="" textlink="">
      <xdr:nvSpPr>
        <xdr:cNvPr id="23" name="Down Arrow 22"/>
        <xdr:cNvSpPr/>
      </xdr:nvSpPr>
      <xdr:spPr>
        <a:xfrm rot="10800000">
          <a:off x="2137829" y="2243667"/>
          <a:ext cx="95254" cy="229658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3376083</xdr:colOff>
      <xdr:row>1</xdr:row>
      <xdr:rowOff>52914</xdr:rowOff>
    </xdr:from>
    <xdr:to>
      <xdr:col>5</xdr:col>
      <xdr:colOff>613833</xdr:colOff>
      <xdr:row>1</xdr:row>
      <xdr:rowOff>158749</xdr:rowOff>
    </xdr:to>
    <xdr:sp macro="" textlink="">
      <xdr:nvSpPr>
        <xdr:cNvPr id="25" name="Down Arrow 24"/>
        <xdr:cNvSpPr/>
      </xdr:nvSpPr>
      <xdr:spPr>
        <a:xfrm rot="16200000">
          <a:off x="6577540" y="-799043"/>
          <a:ext cx="105835" cy="2190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95250</xdr:colOff>
      <xdr:row>1</xdr:row>
      <xdr:rowOff>116417</xdr:rowOff>
    </xdr:from>
    <xdr:to>
      <xdr:col>4</xdr:col>
      <xdr:colOff>95250</xdr:colOff>
      <xdr:row>21</xdr:row>
      <xdr:rowOff>10583</xdr:rowOff>
    </xdr:to>
    <xdr:cxnSp macro="">
      <xdr:nvCxnSpPr>
        <xdr:cNvPr id="27" name="Straight Connector 26"/>
        <xdr:cNvCxnSpPr/>
      </xdr:nvCxnSpPr>
      <xdr:spPr>
        <a:xfrm>
          <a:off x="7048500" y="306917"/>
          <a:ext cx="0" cy="3704166"/>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84667</xdr:colOff>
      <xdr:row>23</xdr:row>
      <xdr:rowOff>10583</xdr:rowOff>
    </xdr:from>
    <xdr:to>
      <xdr:col>4</xdr:col>
      <xdr:colOff>84667</xdr:colOff>
      <xdr:row>42</xdr:row>
      <xdr:rowOff>179917</xdr:rowOff>
    </xdr:to>
    <xdr:cxnSp macro="">
      <xdr:nvCxnSpPr>
        <xdr:cNvPr id="32" name="Straight Connector 31"/>
        <xdr:cNvCxnSpPr/>
      </xdr:nvCxnSpPr>
      <xdr:spPr>
        <a:xfrm>
          <a:off x="7037917" y="4508500"/>
          <a:ext cx="0" cy="3788834"/>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95250</xdr:colOff>
      <xdr:row>21</xdr:row>
      <xdr:rowOff>10583</xdr:rowOff>
    </xdr:from>
    <xdr:to>
      <xdr:col>5</xdr:col>
      <xdr:colOff>296333</xdr:colOff>
      <xdr:row>22</xdr:row>
      <xdr:rowOff>127000</xdr:rowOff>
    </xdr:to>
    <xdr:cxnSp macro="">
      <xdr:nvCxnSpPr>
        <xdr:cNvPr id="33" name="Straight Connector 32"/>
        <xdr:cNvCxnSpPr/>
      </xdr:nvCxnSpPr>
      <xdr:spPr>
        <a:xfrm>
          <a:off x="7048500" y="4011083"/>
          <a:ext cx="359833" cy="264584"/>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84669</xdr:colOff>
      <xdr:row>22</xdr:row>
      <xdr:rowOff>158750</xdr:rowOff>
    </xdr:from>
    <xdr:to>
      <xdr:col>5</xdr:col>
      <xdr:colOff>328083</xdr:colOff>
      <xdr:row>23</xdr:row>
      <xdr:rowOff>10584</xdr:rowOff>
    </xdr:to>
    <xdr:cxnSp macro="">
      <xdr:nvCxnSpPr>
        <xdr:cNvPr id="37" name="Straight Connector 36"/>
        <xdr:cNvCxnSpPr/>
      </xdr:nvCxnSpPr>
      <xdr:spPr>
        <a:xfrm flipH="1">
          <a:off x="7037919" y="4307417"/>
          <a:ext cx="402164" cy="201084"/>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10583</xdr:colOff>
      <xdr:row>20</xdr:row>
      <xdr:rowOff>105833</xdr:rowOff>
    </xdr:from>
    <xdr:to>
      <xdr:col>4</xdr:col>
      <xdr:colOff>74084</xdr:colOff>
      <xdr:row>20</xdr:row>
      <xdr:rowOff>105834</xdr:rowOff>
    </xdr:to>
    <xdr:cxnSp macro="">
      <xdr:nvCxnSpPr>
        <xdr:cNvPr id="45" name="Straight Connector 44"/>
        <xdr:cNvCxnSpPr/>
      </xdr:nvCxnSpPr>
      <xdr:spPr>
        <a:xfrm flipH="1" flipV="1">
          <a:off x="2169583" y="39158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10583</xdr:colOff>
      <xdr:row>18</xdr:row>
      <xdr:rowOff>116416</xdr:rowOff>
    </xdr:from>
    <xdr:to>
      <xdr:col>4</xdr:col>
      <xdr:colOff>74084</xdr:colOff>
      <xdr:row>18</xdr:row>
      <xdr:rowOff>116417</xdr:rowOff>
    </xdr:to>
    <xdr:cxnSp macro="">
      <xdr:nvCxnSpPr>
        <xdr:cNvPr id="48" name="Straight Connector 47"/>
        <xdr:cNvCxnSpPr/>
      </xdr:nvCxnSpPr>
      <xdr:spPr>
        <a:xfrm flipH="1" flipV="1">
          <a:off x="2169583" y="3545416"/>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10584</xdr:colOff>
      <xdr:row>17</xdr:row>
      <xdr:rowOff>95250</xdr:rowOff>
    </xdr:from>
    <xdr:to>
      <xdr:col>4</xdr:col>
      <xdr:colOff>74085</xdr:colOff>
      <xdr:row>17</xdr:row>
      <xdr:rowOff>95251</xdr:rowOff>
    </xdr:to>
    <xdr:cxnSp macro="">
      <xdr:nvCxnSpPr>
        <xdr:cNvPr id="49" name="Straight Connector 48"/>
        <xdr:cNvCxnSpPr/>
      </xdr:nvCxnSpPr>
      <xdr:spPr>
        <a:xfrm flipH="1" flipV="1">
          <a:off x="2169584" y="3333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15</xdr:row>
      <xdr:rowOff>105833</xdr:rowOff>
    </xdr:from>
    <xdr:to>
      <xdr:col>4</xdr:col>
      <xdr:colOff>63501</xdr:colOff>
      <xdr:row>15</xdr:row>
      <xdr:rowOff>105834</xdr:rowOff>
    </xdr:to>
    <xdr:cxnSp macro="">
      <xdr:nvCxnSpPr>
        <xdr:cNvPr id="50" name="Straight Connector 49"/>
        <xdr:cNvCxnSpPr/>
      </xdr:nvCxnSpPr>
      <xdr:spPr>
        <a:xfrm flipH="1" flipV="1">
          <a:off x="2159000" y="2963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46566</xdr:colOff>
      <xdr:row>14</xdr:row>
      <xdr:rowOff>110067</xdr:rowOff>
    </xdr:from>
    <xdr:to>
      <xdr:col>4</xdr:col>
      <xdr:colOff>110067</xdr:colOff>
      <xdr:row>14</xdr:row>
      <xdr:rowOff>110068</xdr:rowOff>
    </xdr:to>
    <xdr:cxnSp macro="">
      <xdr:nvCxnSpPr>
        <xdr:cNvPr id="51" name="Straight Connector 50"/>
        <xdr:cNvCxnSpPr/>
      </xdr:nvCxnSpPr>
      <xdr:spPr>
        <a:xfrm flipH="1" flipV="1">
          <a:off x="2205566" y="27770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25400</xdr:colOff>
      <xdr:row>16</xdr:row>
      <xdr:rowOff>110067</xdr:rowOff>
    </xdr:from>
    <xdr:to>
      <xdr:col>4</xdr:col>
      <xdr:colOff>88901</xdr:colOff>
      <xdr:row>16</xdr:row>
      <xdr:rowOff>110068</xdr:rowOff>
    </xdr:to>
    <xdr:cxnSp macro="">
      <xdr:nvCxnSpPr>
        <xdr:cNvPr id="52" name="Straight Connector 51"/>
        <xdr:cNvCxnSpPr/>
      </xdr:nvCxnSpPr>
      <xdr:spPr>
        <a:xfrm flipH="1" flipV="1">
          <a:off x="1739900" y="31580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35983</xdr:colOff>
      <xdr:row>19</xdr:row>
      <xdr:rowOff>110066</xdr:rowOff>
    </xdr:from>
    <xdr:to>
      <xdr:col>4</xdr:col>
      <xdr:colOff>99484</xdr:colOff>
      <xdr:row>19</xdr:row>
      <xdr:rowOff>110067</xdr:rowOff>
    </xdr:to>
    <xdr:cxnSp macro="">
      <xdr:nvCxnSpPr>
        <xdr:cNvPr id="53" name="Straight Connector 52"/>
        <xdr:cNvCxnSpPr/>
      </xdr:nvCxnSpPr>
      <xdr:spPr>
        <a:xfrm flipH="1" flipV="1">
          <a:off x="2194983" y="3729566"/>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31750</xdr:colOff>
      <xdr:row>12</xdr:row>
      <xdr:rowOff>95250</xdr:rowOff>
    </xdr:from>
    <xdr:to>
      <xdr:col>4</xdr:col>
      <xdr:colOff>95251</xdr:colOff>
      <xdr:row>12</xdr:row>
      <xdr:rowOff>95251</xdr:rowOff>
    </xdr:to>
    <xdr:cxnSp macro="">
      <xdr:nvCxnSpPr>
        <xdr:cNvPr id="54" name="Straight Connector 53"/>
        <xdr:cNvCxnSpPr/>
      </xdr:nvCxnSpPr>
      <xdr:spPr>
        <a:xfrm flipH="1" flipV="1">
          <a:off x="2190750" y="2381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3386667</xdr:colOff>
      <xdr:row>11</xdr:row>
      <xdr:rowOff>95250</xdr:rowOff>
    </xdr:from>
    <xdr:to>
      <xdr:col>4</xdr:col>
      <xdr:colOff>52918</xdr:colOff>
      <xdr:row>11</xdr:row>
      <xdr:rowOff>95252</xdr:rowOff>
    </xdr:to>
    <xdr:cxnSp macro="">
      <xdr:nvCxnSpPr>
        <xdr:cNvPr id="55" name="Straight Connector 54"/>
        <xdr:cNvCxnSpPr/>
      </xdr:nvCxnSpPr>
      <xdr:spPr>
        <a:xfrm flipH="1" flipV="1">
          <a:off x="5545667" y="2190750"/>
          <a:ext cx="1460501" cy="2"/>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10</xdr:row>
      <xdr:rowOff>116417</xdr:rowOff>
    </xdr:from>
    <xdr:to>
      <xdr:col>4</xdr:col>
      <xdr:colOff>63501</xdr:colOff>
      <xdr:row>10</xdr:row>
      <xdr:rowOff>116418</xdr:rowOff>
    </xdr:to>
    <xdr:cxnSp macro="">
      <xdr:nvCxnSpPr>
        <xdr:cNvPr id="56" name="Straight Connector 55"/>
        <xdr:cNvCxnSpPr/>
      </xdr:nvCxnSpPr>
      <xdr:spPr>
        <a:xfrm flipH="1" flipV="1">
          <a:off x="2159000" y="20214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9</xdr:row>
      <xdr:rowOff>105833</xdr:rowOff>
    </xdr:from>
    <xdr:to>
      <xdr:col>4</xdr:col>
      <xdr:colOff>63501</xdr:colOff>
      <xdr:row>9</xdr:row>
      <xdr:rowOff>105834</xdr:rowOff>
    </xdr:to>
    <xdr:cxnSp macro="">
      <xdr:nvCxnSpPr>
        <xdr:cNvPr id="57" name="Straight Connector 56"/>
        <xdr:cNvCxnSpPr/>
      </xdr:nvCxnSpPr>
      <xdr:spPr>
        <a:xfrm flipH="1" flipV="1">
          <a:off x="2159000" y="1820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10584</xdr:colOff>
      <xdr:row>8</xdr:row>
      <xdr:rowOff>105833</xdr:rowOff>
    </xdr:from>
    <xdr:to>
      <xdr:col>4</xdr:col>
      <xdr:colOff>74085</xdr:colOff>
      <xdr:row>8</xdr:row>
      <xdr:rowOff>105834</xdr:rowOff>
    </xdr:to>
    <xdr:cxnSp macro="">
      <xdr:nvCxnSpPr>
        <xdr:cNvPr id="58" name="Straight Connector 57"/>
        <xdr:cNvCxnSpPr/>
      </xdr:nvCxnSpPr>
      <xdr:spPr>
        <a:xfrm flipH="1" flipV="1">
          <a:off x="2169584" y="16298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7</xdr:row>
      <xdr:rowOff>105834</xdr:rowOff>
    </xdr:from>
    <xdr:to>
      <xdr:col>4</xdr:col>
      <xdr:colOff>63501</xdr:colOff>
      <xdr:row>7</xdr:row>
      <xdr:rowOff>105835</xdr:rowOff>
    </xdr:to>
    <xdr:cxnSp macro="">
      <xdr:nvCxnSpPr>
        <xdr:cNvPr id="59" name="Straight Connector 58"/>
        <xdr:cNvCxnSpPr/>
      </xdr:nvCxnSpPr>
      <xdr:spPr>
        <a:xfrm flipH="1" flipV="1">
          <a:off x="2159000" y="143933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21166</xdr:colOff>
      <xdr:row>6</xdr:row>
      <xdr:rowOff>116417</xdr:rowOff>
    </xdr:from>
    <xdr:to>
      <xdr:col>4</xdr:col>
      <xdr:colOff>84667</xdr:colOff>
      <xdr:row>6</xdr:row>
      <xdr:rowOff>116418</xdr:rowOff>
    </xdr:to>
    <xdr:cxnSp macro="">
      <xdr:nvCxnSpPr>
        <xdr:cNvPr id="60" name="Straight Connector 59"/>
        <xdr:cNvCxnSpPr/>
      </xdr:nvCxnSpPr>
      <xdr:spPr>
        <a:xfrm flipH="1" flipV="1">
          <a:off x="2180166" y="12594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52917</xdr:colOff>
      <xdr:row>5</xdr:row>
      <xdr:rowOff>105834</xdr:rowOff>
    </xdr:from>
    <xdr:to>
      <xdr:col>4</xdr:col>
      <xdr:colOff>116418</xdr:colOff>
      <xdr:row>5</xdr:row>
      <xdr:rowOff>105835</xdr:rowOff>
    </xdr:to>
    <xdr:cxnSp macro="">
      <xdr:nvCxnSpPr>
        <xdr:cNvPr id="61" name="Straight Connector 60"/>
        <xdr:cNvCxnSpPr/>
      </xdr:nvCxnSpPr>
      <xdr:spPr>
        <a:xfrm flipH="1" flipV="1">
          <a:off x="2211917" y="105833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21167</xdr:colOff>
      <xdr:row>4</xdr:row>
      <xdr:rowOff>95250</xdr:rowOff>
    </xdr:from>
    <xdr:to>
      <xdr:col>4</xdr:col>
      <xdr:colOff>84668</xdr:colOff>
      <xdr:row>4</xdr:row>
      <xdr:rowOff>95251</xdr:rowOff>
    </xdr:to>
    <xdr:cxnSp macro="">
      <xdr:nvCxnSpPr>
        <xdr:cNvPr id="62" name="Straight Connector 61"/>
        <xdr:cNvCxnSpPr/>
      </xdr:nvCxnSpPr>
      <xdr:spPr>
        <a:xfrm flipH="1" flipV="1">
          <a:off x="2180167" y="857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21167</xdr:colOff>
      <xdr:row>3</xdr:row>
      <xdr:rowOff>105833</xdr:rowOff>
    </xdr:from>
    <xdr:to>
      <xdr:col>4</xdr:col>
      <xdr:colOff>84668</xdr:colOff>
      <xdr:row>3</xdr:row>
      <xdr:rowOff>105834</xdr:rowOff>
    </xdr:to>
    <xdr:cxnSp macro="">
      <xdr:nvCxnSpPr>
        <xdr:cNvPr id="63" name="Straight Connector 62"/>
        <xdr:cNvCxnSpPr/>
      </xdr:nvCxnSpPr>
      <xdr:spPr>
        <a:xfrm flipH="1" flipV="1">
          <a:off x="2180167" y="677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31750</xdr:colOff>
      <xdr:row>2</xdr:row>
      <xdr:rowOff>95250</xdr:rowOff>
    </xdr:from>
    <xdr:to>
      <xdr:col>4</xdr:col>
      <xdr:colOff>95251</xdr:colOff>
      <xdr:row>2</xdr:row>
      <xdr:rowOff>95251</xdr:rowOff>
    </xdr:to>
    <xdr:cxnSp macro="">
      <xdr:nvCxnSpPr>
        <xdr:cNvPr id="64" name="Straight Connector 63"/>
        <xdr:cNvCxnSpPr/>
      </xdr:nvCxnSpPr>
      <xdr:spPr>
        <a:xfrm flipH="1" flipV="1">
          <a:off x="2190750" y="476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3577167</xdr:colOff>
      <xdr:row>1</xdr:row>
      <xdr:rowOff>116417</xdr:rowOff>
    </xdr:from>
    <xdr:to>
      <xdr:col>4</xdr:col>
      <xdr:colOff>63503</xdr:colOff>
      <xdr:row>1</xdr:row>
      <xdr:rowOff>116420</xdr:rowOff>
    </xdr:to>
    <xdr:cxnSp macro="">
      <xdr:nvCxnSpPr>
        <xdr:cNvPr id="65" name="Straight Connector 64"/>
        <xdr:cNvCxnSpPr/>
      </xdr:nvCxnSpPr>
      <xdr:spPr>
        <a:xfrm flipH="1" flipV="1">
          <a:off x="5736167" y="306917"/>
          <a:ext cx="1280586" cy="3"/>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21166</xdr:colOff>
      <xdr:row>13</xdr:row>
      <xdr:rowOff>95250</xdr:rowOff>
    </xdr:from>
    <xdr:to>
      <xdr:col>4</xdr:col>
      <xdr:colOff>84667</xdr:colOff>
      <xdr:row>13</xdr:row>
      <xdr:rowOff>95251</xdr:rowOff>
    </xdr:to>
    <xdr:cxnSp macro="">
      <xdr:nvCxnSpPr>
        <xdr:cNvPr id="69" name="Straight Connector 68"/>
        <xdr:cNvCxnSpPr/>
      </xdr:nvCxnSpPr>
      <xdr:spPr>
        <a:xfrm flipH="1" flipV="1">
          <a:off x="2180166" y="2571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423334</xdr:colOff>
      <xdr:row>23</xdr:row>
      <xdr:rowOff>52917</xdr:rowOff>
    </xdr:from>
    <xdr:to>
      <xdr:col>2</xdr:col>
      <xdr:colOff>148166</xdr:colOff>
      <xdr:row>32</xdr:row>
      <xdr:rowOff>127000</xdr:rowOff>
    </xdr:to>
    <xdr:sp macro="" textlink="">
      <xdr:nvSpPr>
        <xdr:cNvPr id="122" name="Left Brace 121"/>
        <xdr:cNvSpPr/>
      </xdr:nvSpPr>
      <xdr:spPr>
        <a:xfrm>
          <a:off x="1037167" y="243417"/>
          <a:ext cx="338666"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433916</xdr:colOff>
      <xdr:row>33</xdr:row>
      <xdr:rowOff>42333</xdr:rowOff>
    </xdr:from>
    <xdr:to>
      <xdr:col>2</xdr:col>
      <xdr:colOff>158748</xdr:colOff>
      <xdr:row>42</xdr:row>
      <xdr:rowOff>116416</xdr:rowOff>
    </xdr:to>
    <xdr:sp macro="" textlink="">
      <xdr:nvSpPr>
        <xdr:cNvPr id="123" name="Left Brace 122"/>
        <xdr:cNvSpPr/>
      </xdr:nvSpPr>
      <xdr:spPr>
        <a:xfrm>
          <a:off x="1047749" y="2137833"/>
          <a:ext cx="338666" cy="1788583"/>
        </a:xfrm>
        <a:prstGeom prst="lef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10583</xdr:colOff>
      <xdr:row>42</xdr:row>
      <xdr:rowOff>105833</xdr:rowOff>
    </xdr:from>
    <xdr:to>
      <xdr:col>4</xdr:col>
      <xdr:colOff>74084</xdr:colOff>
      <xdr:row>42</xdr:row>
      <xdr:rowOff>105834</xdr:rowOff>
    </xdr:to>
    <xdr:cxnSp macro="">
      <xdr:nvCxnSpPr>
        <xdr:cNvPr id="125" name="Straight Connector 124"/>
        <xdr:cNvCxnSpPr/>
      </xdr:nvCxnSpPr>
      <xdr:spPr>
        <a:xfrm flipH="1" flipV="1">
          <a:off x="2169583" y="39158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10583</xdr:colOff>
      <xdr:row>40</xdr:row>
      <xdr:rowOff>116416</xdr:rowOff>
    </xdr:from>
    <xdr:to>
      <xdr:col>4</xdr:col>
      <xdr:colOff>74084</xdr:colOff>
      <xdr:row>40</xdr:row>
      <xdr:rowOff>116417</xdr:rowOff>
    </xdr:to>
    <xdr:cxnSp macro="">
      <xdr:nvCxnSpPr>
        <xdr:cNvPr id="126" name="Straight Connector 125"/>
        <xdr:cNvCxnSpPr/>
      </xdr:nvCxnSpPr>
      <xdr:spPr>
        <a:xfrm flipH="1" flipV="1">
          <a:off x="2169583" y="3545416"/>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10584</xdr:colOff>
      <xdr:row>39</xdr:row>
      <xdr:rowOff>95250</xdr:rowOff>
    </xdr:from>
    <xdr:to>
      <xdr:col>4</xdr:col>
      <xdr:colOff>74085</xdr:colOff>
      <xdr:row>39</xdr:row>
      <xdr:rowOff>95251</xdr:rowOff>
    </xdr:to>
    <xdr:cxnSp macro="">
      <xdr:nvCxnSpPr>
        <xdr:cNvPr id="127" name="Straight Connector 126"/>
        <xdr:cNvCxnSpPr/>
      </xdr:nvCxnSpPr>
      <xdr:spPr>
        <a:xfrm flipH="1" flipV="1">
          <a:off x="2169584" y="3333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37</xdr:row>
      <xdr:rowOff>105833</xdr:rowOff>
    </xdr:from>
    <xdr:to>
      <xdr:col>4</xdr:col>
      <xdr:colOff>63501</xdr:colOff>
      <xdr:row>37</xdr:row>
      <xdr:rowOff>105834</xdr:rowOff>
    </xdr:to>
    <xdr:cxnSp macro="">
      <xdr:nvCxnSpPr>
        <xdr:cNvPr id="128" name="Straight Connector 127"/>
        <xdr:cNvCxnSpPr/>
      </xdr:nvCxnSpPr>
      <xdr:spPr>
        <a:xfrm flipH="1" flipV="1">
          <a:off x="2159000" y="2963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46566</xdr:colOff>
      <xdr:row>36</xdr:row>
      <xdr:rowOff>110067</xdr:rowOff>
    </xdr:from>
    <xdr:to>
      <xdr:col>4</xdr:col>
      <xdr:colOff>110067</xdr:colOff>
      <xdr:row>36</xdr:row>
      <xdr:rowOff>110068</xdr:rowOff>
    </xdr:to>
    <xdr:cxnSp macro="">
      <xdr:nvCxnSpPr>
        <xdr:cNvPr id="129" name="Straight Connector 128"/>
        <xdr:cNvCxnSpPr/>
      </xdr:nvCxnSpPr>
      <xdr:spPr>
        <a:xfrm flipH="1" flipV="1">
          <a:off x="2205566" y="27770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14817</xdr:colOff>
      <xdr:row>38</xdr:row>
      <xdr:rowOff>88900</xdr:rowOff>
    </xdr:from>
    <xdr:to>
      <xdr:col>4</xdr:col>
      <xdr:colOff>78318</xdr:colOff>
      <xdr:row>38</xdr:row>
      <xdr:rowOff>88901</xdr:rowOff>
    </xdr:to>
    <xdr:cxnSp macro="">
      <xdr:nvCxnSpPr>
        <xdr:cNvPr id="130" name="Straight Connector 129"/>
        <xdr:cNvCxnSpPr/>
      </xdr:nvCxnSpPr>
      <xdr:spPr>
        <a:xfrm flipH="1" flipV="1">
          <a:off x="2173817" y="313690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35983</xdr:colOff>
      <xdr:row>41</xdr:row>
      <xdr:rowOff>110066</xdr:rowOff>
    </xdr:from>
    <xdr:to>
      <xdr:col>4</xdr:col>
      <xdr:colOff>99484</xdr:colOff>
      <xdr:row>41</xdr:row>
      <xdr:rowOff>110067</xdr:rowOff>
    </xdr:to>
    <xdr:cxnSp macro="">
      <xdr:nvCxnSpPr>
        <xdr:cNvPr id="131" name="Straight Connector 130"/>
        <xdr:cNvCxnSpPr/>
      </xdr:nvCxnSpPr>
      <xdr:spPr>
        <a:xfrm flipH="1" flipV="1">
          <a:off x="2194983" y="3729566"/>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910166</xdr:colOff>
      <xdr:row>34</xdr:row>
      <xdr:rowOff>52917</xdr:rowOff>
    </xdr:from>
    <xdr:to>
      <xdr:col>4</xdr:col>
      <xdr:colOff>42334</xdr:colOff>
      <xdr:row>34</xdr:row>
      <xdr:rowOff>52918</xdr:rowOff>
    </xdr:to>
    <xdr:cxnSp macro="">
      <xdr:nvCxnSpPr>
        <xdr:cNvPr id="132" name="Straight Connector 131"/>
        <xdr:cNvCxnSpPr/>
      </xdr:nvCxnSpPr>
      <xdr:spPr>
        <a:xfrm flipH="1" flipV="1">
          <a:off x="2137833" y="664633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1672167</xdr:colOff>
      <xdr:row>33</xdr:row>
      <xdr:rowOff>95252</xdr:rowOff>
    </xdr:from>
    <xdr:to>
      <xdr:col>4</xdr:col>
      <xdr:colOff>52919</xdr:colOff>
      <xdr:row>33</xdr:row>
      <xdr:rowOff>116416</xdr:rowOff>
    </xdr:to>
    <xdr:cxnSp macro="">
      <xdr:nvCxnSpPr>
        <xdr:cNvPr id="133" name="Straight Connector 132"/>
        <xdr:cNvCxnSpPr/>
      </xdr:nvCxnSpPr>
      <xdr:spPr>
        <a:xfrm flipH="1">
          <a:off x="3831167" y="6498169"/>
          <a:ext cx="3175002" cy="21164"/>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32</xdr:row>
      <xdr:rowOff>116417</xdr:rowOff>
    </xdr:from>
    <xdr:to>
      <xdr:col>4</xdr:col>
      <xdr:colOff>63501</xdr:colOff>
      <xdr:row>32</xdr:row>
      <xdr:rowOff>116418</xdr:rowOff>
    </xdr:to>
    <xdr:cxnSp macro="">
      <xdr:nvCxnSpPr>
        <xdr:cNvPr id="134" name="Straight Connector 133"/>
        <xdr:cNvCxnSpPr/>
      </xdr:nvCxnSpPr>
      <xdr:spPr>
        <a:xfrm flipH="1" flipV="1">
          <a:off x="2159000" y="20214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31</xdr:row>
      <xdr:rowOff>105833</xdr:rowOff>
    </xdr:from>
    <xdr:to>
      <xdr:col>4</xdr:col>
      <xdr:colOff>63501</xdr:colOff>
      <xdr:row>31</xdr:row>
      <xdr:rowOff>105834</xdr:rowOff>
    </xdr:to>
    <xdr:cxnSp macro="">
      <xdr:nvCxnSpPr>
        <xdr:cNvPr id="135" name="Straight Connector 134"/>
        <xdr:cNvCxnSpPr/>
      </xdr:nvCxnSpPr>
      <xdr:spPr>
        <a:xfrm flipH="1" flipV="1">
          <a:off x="2159000" y="1820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10584</xdr:colOff>
      <xdr:row>30</xdr:row>
      <xdr:rowOff>105833</xdr:rowOff>
    </xdr:from>
    <xdr:to>
      <xdr:col>4</xdr:col>
      <xdr:colOff>74085</xdr:colOff>
      <xdr:row>30</xdr:row>
      <xdr:rowOff>105834</xdr:rowOff>
    </xdr:to>
    <xdr:cxnSp macro="">
      <xdr:nvCxnSpPr>
        <xdr:cNvPr id="136" name="Straight Connector 135"/>
        <xdr:cNvCxnSpPr/>
      </xdr:nvCxnSpPr>
      <xdr:spPr>
        <a:xfrm flipH="1" flipV="1">
          <a:off x="2169584" y="16298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29</xdr:row>
      <xdr:rowOff>105834</xdr:rowOff>
    </xdr:from>
    <xdr:to>
      <xdr:col>4</xdr:col>
      <xdr:colOff>63501</xdr:colOff>
      <xdr:row>29</xdr:row>
      <xdr:rowOff>105835</xdr:rowOff>
    </xdr:to>
    <xdr:cxnSp macro="">
      <xdr:nvCxnSpPr>
        <xdr:cNvPr id="137" name="Straight Connector 136"/>
        <xdr:cNvCxnSpPr/>
      </xdr:nvCxnSpPr>
      <xdr:spPr>
        <a:xfrm flipH="1" flipV="1">
          <a:off x="2159000" y="143933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21166</xdr:colOff>
      <xdr:row>28</xdr:row>
      <xdr:rowOff>116417</xdr:rowOff>
    </xdr:from>
    <xdr:to>
      <xdr:col>4</xdr:col>
      <xdr:colOff>84667</xdr:colOff>
      <xdr:row>28</xdr:row>
      <xdr:rowOff>116418</xdr:rowOff>
    </xdr:to>
    <xdr:cxnSp macro="">
      <xdr:nvCxnSpPr>
        <xdr:cNvPr id="138" name="Straight Connector 137"/>
        <xdr:cNvCxnSpPr/>
      </xdr:nvCxnSpPr>
      <xdr:spPr>
        <a:xfrm flipH="1" flipV="1">
          <a:off x="2180166" y="12594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27</xdr:row>
      <xdr:rowOff>116417</xdr:rowOff>
    </xdr:from>
    <xdr:to>
      <xdr:col>4</xdr:col>
      <xdr:colOff>63501</xdr:colOff>
      <xdr:row>27</xdr:row>
      <xdr:rowOff>116418</xdr:rowOff>
    </xdr:to>
    <xdr:cxnSp macro="">
      <xdr:nvCxnSpPr>
        <xdr:cNvPr id="139" name="Straight Connector 138"/>
        <xdr:cNvCxnSpPr/>
      </xdr:nvCxnSpPr>
      <xdr:spPr>
        <a:xfrm flipH="1" flipV="1">
          <a:off x="2159000" y="10689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21167</xdr:colOff>
      <xdr:row>26</xdr:row>
      <xdr:rowOff>95250</xdr:rowOff>
    </xdr:from>
    <xdr:to>
      <xdr:col>4</xdr:col>
      <xdr:colOff>84668</xdr:colOff>
      <xdr:row>26</xdr:row>
      <xdr:rowOff>95251</xdr:rowOff>
    </xdr:to>
    <xdr:cxnSp macro="">
      <xdr:nvCxnSpPr>
        <xdr:cNvPr id="140" name="Straight Connector 139"/>
        <xdr:cNvCxnSpPr/>
      </xdr:nvCxnSpPr>
      <xdr:spPr>
        <a:xfrm flipH="1" flipV="1">
          <a:off x="2180167" y="857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21167</xdr:colOff>
      <xdr:row>25</xdr:row>
      <xdr:rowOff>105833</xdr:rowOff>
    </xdr:from>
    <xdr:to>
      <xdr:col>4</xdr:col>
      <xdr:colOff>84668</xdr:colOff>
      <xdr:row>25</xdr:row>
      <xdr:rowOff>105834</xdr:rowOff>
    </xdr:to>
    <xdr:cxnSp macro="">
      <xdr:nvCxnSpPr>
        <xdr:cNvPr id="141" name="Straight Connector 140"/>
        <xdr:cNvCxnSpPr/>
      </xdr:nvCxnSpPr>
      <xdr:spPr>
        <a:xfrm flipH="1" flipV="1">
          <a:off x="2180167" y="677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2254250</xdr:colOff>
      <xdr:row>24</xdr:row>
      <xdr:rowOff>95252</xdr:rowOff>
    </xdr:from>
    <xdr:to>
      <xdr:col>4</xdr:col>
      <xdr:colOff>95252</xdr:colOff>
      <xdr:row>24</xdr:row>
      <xdr:rowOff>105833</xdr:rowOff>
    </xdr:to>
    <xdr:cxnSp macro="">
      <xdr:nvCxnSpPr>
        <xdr:cNvPr id="142" name="Straight Connector 141"/>
        <xdr:cNvCxnSpPr/>
      </xdr:nvCxnSpPr>
      <xdr:spPr>
        <a:xfrm flipH="1">
          <a:off x="4413250" y="4783669"/>
          <a:ext cx="2635252" cy="1058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4212167</xdr:colOff>
      <xdr:row>23</xdr:row>
      <xdr:rowOff>116416</xdr:rowOff>
    </xdr:from>
    <xdr:to>
      <xdr:col>4</xdr:col>
      <xdr:colOff>63503</xdr:colOff>
      <xdr:row>23</xdr:row>
      <xdr:rowOff>116421</xdr:rowOff>
    </xdr:to>
    <xdr:cxnSp macro="">
      <xdr:nvCxnSpPr>
        <xdr:cNvPr id="143" name="Straight Connector 142"/>
        <xdr:cNvCxnSpPr/>
      </xdr:nvCxnSpPr>
      <xdr:spPr>
        <a:xfrm flipH="1" flipV="1">
          <a:off x="6371167" y="4614333"/>
          <a:ext cx="645586" cy="5"/>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21166</xdr:colOff>
      <xdr:row>35</xdr:row>
      <xdr:rowOff>95250</xdr:rowOff>
    </xdr:from>
    <xdr:to>
      <xdr:col>4</xdr:col>
      <xdr:colOff>84667</xdr:colOff>
      <xdr:row>35</xdr:row>
      <xdr:rowOff>95251</xdr:rowOff>
    </xdr:to>
    <xdr:cxnSp macro="">
      <xdr:nvCxnSpPr>
        <xdr:cNvPr id="144" name="Straight Connector 143"/>
        <xdr:cNvCxnSpPr/>
      </xdr:nvCxnSpPr>
      <xdr:spPr>
        <a:xfrm flipH="1" flipV="1">
          <a:off x="2180166" y="2571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95250</xdr:colOff>
      <xdr:row>1</xdr:row>
      <xdr:rowOff>116417</xdr:rowOff>
    </xdr:from>
    <xdr:to>
      <xdr:col>7</xdr:col>
      <xdr:colOff>95250</xdr:colOff>
      <xdr:row>21</xdr:row>
      <xdr:rowOff>21166</xdr:rowOff>
    </xdr:to>
    <xdr:cxnSp macro="">
      <xdr:nvCxnSpPr>
        <xdr:cNvPr id="195" name="Straight Connector 194"/>
        <xdr:cNvCxnSpPr/>
      </xdr:nvCxnSpPr>
      <xdr:spPr>
        <a:xfrm>
          <a:off x="7048500" y="306917"/>
          <a:ext cx="0" cy="3714749"/>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84667</xdr:colOff>
      <xdr:row>23</xdr:row>
      <xdr:rowOff>10583</xdr:rowOff>
    </xdr:from>
    <xdr:to>
      <xdr:col>7</xdr:col>
      <xdr:colOff>84667</xdr:colOff>
      <xdr:row>42</xdr:row>
      <xdr:rowOff>179917</xdr:rowOff>
    </xdr:to>
    <xdr:cxnSp macro="">
      <xdr:nvCxnSpPr>
        <xdr:cNvPr id="196" name="Straight Connector 195"/>
        <xdr:cNvCxnSpPr/>
      </xdr:nvCxnSpPr>
      <xdr:spPr>
        <a:xfrm>
          <a:off x="7037917" y="4508500"/>
          <a:ext cx="0" cy="3788834"/>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95250</xdr:colOff>
      <xdr:row>21</xdr:row>
      <xdr:rowOff>10583</xdr:rowOff>
    </xdr:from>
    <xdr:to>
      <xdr:col>7</xdr:col>
      <xdr:colOff>285750</xdr:colOff>
      <xdr:row>22</xdr:row>
      <xdr:rowOff>127000</xdr:rowOff>
    </xdr:to>
    <xdr:cxnSp macro="">
      <xdr:nvCxnSpPr>
        <xdr:cNvPr id="197" name="Straight Connector 196"/>
        <xdr:cNvCxnSpPr/>
      </xdr:nvCxnSpPr>
      <xdr:spPr>
        <a:xfrm>
          <a:off x="7048500" y="4011083"/>
          <a:ext cx="190500" cy="264584"/>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84667</xdr:colOff>
      <xdr:row>22</xdr:row>
      <xdr:rowOff>127000</xdr:rowOff>
    </xdr:from>
    <xdr:to>
      <xdr:col>7</xdr:col>
      <xdr:colOff>275167</xdr:colOff>
      <xdr:row>23</xdr:row>
      <xdr:rowOff>0</xdr:rowOff>
    </xdr:to>
    <xdr:cxnSp macro="">
      <xdr:nvCxnSpPr>
        <xdr:cNvPr id="198" name="Straight Connector 197"/>
        <xdr:cNvCxnSpPr/>
      </xdr:nvCxnSpPr>
      <xdr:spPr>
        <a:xfrm flipH="1">
          <a:off x="7037917" y="4275667"/>
          <a:ext cx="190500" cy="222250"/>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10583</xdr:colOff>
      <xdr:row>20</xdr:row>
      <xdr:rowOff>105833</xdr:rowOff>
    </xdr:from>
    <xdr:to>
      <xdr:col>7</xdr:col>
      <xdr:colOff>74084</xdr:colOff>
      <xdr:row>20</xdr:row>
      <xdr:rowOff>105834</xdr:rowOff>
    </xdr:to>
    <xdr:cxnSp macro="">
      <xdr:nvCxnSpPr>
        <xdr:cNvPr id="199" name="Straight Connector 198"/>
        <xdr:cNvCxnSpPr/>
      </xdr:nvCxnSpPr>
      <xdr:spPr>
        <a:xfrm flipH="1" flipV="1">
          <a:off x="2169583" y="39158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10583</xdr:colOff>
      <xdr:row>18</xdr:row>
      <xdr:rowOff>116416</xdr:rowOff>
    </xdr:from>
    <xdr:to>
      <xdr:col>7</xdr:col>
      <xdr:colOff>74084</xdr:colOff>
      <xdr:row>18</xdr:row>
      <xdr:rowOff>116417</xdr:rowOff>
    </xdr:to>
    <xdr:cxnSp macro="">
      <xdr:nvCxnSpPr>
        <xdr:cNvPr id="200" name="Straight Connector 199"/>
        <xdr:cNvCxnSpPr/>
      </xdr:nvCxnSpPr>
      <xdr:spPr>
        <a:xfrm flipH="1" flipV="1">
          <a:off x="2169583" y="3545416"/>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10584</xdr:colOff>
      <xdr:row>17</xdr:row>
      <xdr:rowOff>95250</xdr:rowOff>
    </xdr:from>
    <xdr:to>
      <xdr:col>7</xdr:col>
      <xdr:colOff>74085</xdr:colOff>
      <xdr:row>17</xdr:row>
      <xdr:rowOff>95251</xdr:rowOff>
    </xdr:to>
    <xdr:cxnSp macro="">
      <xdr:nvCxnSpPr>
        <xdr:cNvPr id="201" name="Straight Connector 200"/>
        <xdr:cNvCxnSpPr/>
      </xdr:nvCxnSpPr>
      <xdr:spPr>
        <a:xfrm flipH="1" flipV="1">
          <a:off x="2169584" y="3333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15</xdr:row>
      <xdr:rowOff>105833</xdr:rowOff>
    </xdr:from>
    <xdr:to>
      <xdr:col>7</xdr:col>
      <xdr:colOff>63501</xdr:colOff>
      <xdr:row>15</xdr:row>
      <xdr:rowOff>105834</xdr:rowOff>
    </xdr:to>
    <xdr:cxnSp macro="">
      <xdr:nvCxnSpPr>
        <xdr:cNvPr id="202" name="Straight Connector 201"/>
        <xdr:cNvCxnSpPr/>
      </xdr:nvCxnSpPr>
      <xdr:spPr>
        <a:xfrm flipH="1" flipV="1">
          <a:off x="2159000" y="2963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46566</xdr:colOff>
      <xdr:row>14</xdr:row>
      <xdr:rowOff>110067</xdr:rowOff>
    </xdr:from>
    <xdr:to>
      <xdr:col>7</xdr:col>
      <xdr:colOff>110067</xdr:colOff>
      <xdr:row>14</xdr:row>
      <xdr:rowOff>110068</xdr:rowOff>
    </xdr:to>
    <xdr:cxnSp macro="">
      <xdr:nvCxnSpPr>
        <xdr:cNvPr id="203" name="Straight Connector 202"/>
        <xdr:cNvCxnSpPr/>
      </xdr:nvCxnSpPr>
      <xdr:spPr>
        <a:xfrm flipH="1" flipV="1">
          <a:off x="2205566" y="27770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14817</xdr:colOff>
      <xdr:row>16</xdr:row>
      <xdr:rowOff>88900</xdr:rowOff>
    </xdr:from>
    <xdr:to>
      <xdr:col>7</xdr:col>
      <xdr:colOff>78318</xdr:colOff>
      <xdr:row>16</xdr:row>
      <xdr:rowOff>88901</xdr:rowOff>
    </xdr:to>
    <xdr:cxnSp macro="">
      <xdr:nvCxnSpPr>
        <xdr:cNvPr id="204" name="Straight Connector 203"/>
        <xdr:cNvCxnSpPr/>
      </xdr:nvCxnSpPr>
      <xdr:spPr>
        <a:xfrm flipH="1" flipV="1">
          <a:off x="2173817" y="313690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35983</xdr:colOff>
      <xdr:row>19</xdr:row>
      <xdr:rowOff>110066</xdr:rowOff>
    </xdr:from>
    <xdr:to>
      <xdr:col>7</xdr:col>
      <xdr:colOff>99484</xdr:colOff>
      <xdr:row>19</xdr:row>
      <xdr:rowOff>110067</xdr:rowOff>
    </xdr:to>
    <xdr:cxnSp macro="">
      <xdr:nvCxnSpPr>
        <xdr:cNvPr id="205" name="Straight Connector 204"/>
        <xdr:cNvCxnSpPr/>
      </xdr:nvCxnSpPr>
      <xdr:spPr>
        <a:xfrm flipH="1" flipV="1">
          <a:off x="2194983" y="3729566"/>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31750</xdr:colOff>
      <xdr:row>12</xdr:row>
      <xdr:rowOff>95250</xdr:rowOff>
    </xdr:from>
    <xdr:to>
      <xdr:col>7</xdr:col>
      <xdr:colOff>95251</xdr:colOff>
      <xdr:row>12</xdr:row>
      <xdr:rowOff>95251</xdr:rowOff>
    </xdr:to>
    <xdr:cxnSp macro="">
      <xdr:nvCxnSpPr>
        <xdr:cNvPr id="206" name="Straight Connector 205"/>
        <xdr:cNvCxnSpPr/>
      </xdr:nvCxnSpPr>
      <xdr:spPr>
        <a:xfrm flipH="1" flipV="1">
          <a:off x="2190750" y="2381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3386667</xdr:colOff>
      <xdr:row>11</xdr:row>
      <xdr:rowOff>95250</xdr:rowOff>
    </xdr:from>
    <xdr:to>
      <xdr:col>7</xdr:col>
      <xdr:colOff>52918</xdr:colOff>
      <xdr:row>11</xdr:row>
      <xdr:rowOff>95252</xdr:rowOff>
    </xdr:to>
    <xdr:cxnSp macro="">
      <xdr:nvCxnSpPr>
        <xdr:cNvPr id="207" name="Straight Connector 206"/>
        <xdr:cNvCxnSpPr/>
      </xdr:nvCxnSpPr>
      <xdr:spPr>
        <a:xfrm flipH="1" flipV="1">
          <a:off x="5545667" y="2190750"/>
          <a:ext cx="1460501" cy="2"/>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10</xdr:row>
      <xdr:rowOff>116417</xdr:rowOff>
    </xdr:from>
    <xdr:to>
      <xdr:col>7</xdr:col>
      <xdr:colOff>63501</xdr:colOff>
      <xdr:row>10</xdr:row>
      <xdr:rowOff>116418</xdr:rowOff>
    </xdr:to>
    <xdr:cxnSp macro="">
      <xdr:nvCxnSpPr>
        <xdr:cNvPr id="208" name="Straight Connector 207"/>
        <xdr:cNvCxnSpPr/>
      </xdr:nvCxnSpPr>
      <xdr:spPr>
        <a:xfrm flipH="1" flipV="1">
          <a:off x="2159000" y="20214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9</xdr:row>
      <xdr:rowOff>105833</xdr:rowOff>
    </xdr:from>
    <xdr:to>
      <xdr:col>7</xdr:col>
      <xdr:colOff>63501</xdr:colOff>
      <xdr:row>9</xdr:row>
      <xdr:rowOff>105834</xdr:rowOff>
    </xdr:to>
    <xdr:cxnSp macro="">
      <xdr:nvCxnSpPr>
        <xdr:cNvPr id="209" name="Straight Connector 208"/>
        <xdr:cNvCxnSpPr/>
      </xdr:nvCxnSpPr>
      <xdr:spPr>
        <a:xfrm flipH="1" flipV="1">
          <a:off x="2159000" y="1820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10584</xdr:colOff>
      <xdr:row>8</xdr:row>
      <xdr:rowOff>105833</xdr:rowOff>
    </xdr:from>
    <xdr:to>
      <xdr:col>7</xdr:col>
      <xdr:colOff>74085</xdr:colOff>
      <xdr:row>8</xdr:row>
      <xdr:rowOff>105834</xdr:rowOff>
    </xdr:to>
    <xdr:cxnSp macro="">
      <xdr:nvCxnSpPr>
        <xdr:cNvPr id="210" name="Straight Connector 209"/>
        <xdr:cNvCxnSpPr/>
      </xdr:nvCxnSpPr>
      <xdr:spPr>
        <a:xfrm flipH="1" flipV="1">
          <a:off x="2169584" y="16298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21167</xdr:colOff>
      <xdr:row>7</xdr:row>
      <xdr:rowOff>95250</xdr:rowOff>
    </xdr:from>
    <xdr:to>
      <xdr:col>7</xdr:col>
      <xdr:colOff>84668</xdr:colOff>
      <xdr:row>7</xdr:row>
      <xdr:rowOff>95251</xdr:rowOff>
    </xdr:to>
    <xdr:cxnSp macro="">
      <xdr:nvCxnSpPr>
        <xdr:cNvPr id="211" name="Straight Connector 210"/>
        <xdr:cNvCxnSpPr/>
      </xdr:nvCxnSpPr>
      <xdr:spPr>
        <a:xfrm flipH="1" flipV="1">
          <a:off x="8561917" y="1428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21166</xdr:colOff>
      <xdr:row>6</xdr:row>
      <xdr:rowOff>116417</xdr:rowOff>
    </xdr:from>
    <xdr:to>
      <xdr:col>7</xdr:col>
      <xdr:colOff>84667</xdr:colOff>
      <xdr:row>6</xdr:row>
      <xdr:rowOff>116418</xdr:rowOff>
    </xdr:to>
    <xdr:cxnSp macro="">
      <xdr:nvCxnSpPr>
        <xdr:cNvPr id="212" name="Straight Connector 211"/>
        <xdr:cNvCxnSpPr/>
      </xdr:nvCxnSpPr>
      <xdr:spPr>
        <a:xfrm flipH="1" flipV="1">
          <a:off x="2180166" y="12594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5</xdr:row>
      <xdr:rowOff>116417</xdr:rowOff>
    </xdr:from>
    <xdr:to>
      <xdr:col>7</xdr:col>
      <xdr:colOff>63501</xdr:colOff>
      <xdr:row>5</xdr:row>
      <xdr:rowOff>116418</xdr:rowOff>
    </xdr:to>
    <xdr:cxnSp macro="">
      <xdr:nvCxnSpPr>
        <xdr:cNvPr id="213" name="Straight Connector 212"/>
        <xdr:cNvCxnSpPr/>
      </xdr:nvCxnSpPr>
      <xdr:spPr>
        <a:xfrm flipH="1" flipV="1">
          <a:off x="2159000" y="10689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21167</xdr:colOff>
      <xdr:row>4</xdr:row>
      <xdr:rowOff>95250</xdr:rowOff>
    </xdr:from>
    <xdr:to>
      <xdr:col>7</xdr:col>
      <xdr:colOff>84668</xdr:colOff>
      <xdr:row>4</xdr:row>
      <xdr:rowOff>95251</xdr:rowOff>
    </xdr:to>
    <xdr:cxnSp macro="">
      <xdr:nvCxnSpPr>
        <xdr:cNvPr id="214" name="Straight Connector 213"/>
        <xdr:cNvCxnSpPr/>
      </xdr:nvCxnSpPr>
      <xdr:spPr>
        <a:xfrm flipH="1" flipV="1">
          <a:off x="2180167" y="857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21167</xdr:colOff>
      <xdr:row>3</xdr:row>
      <xdr:rowOff>105833</xdr:rowOff>
    </xdr:from>
    <xdr:to>
      <xdr:col>7</xdr:col>
      <xdr:colOff>84668</xdr:colOff>
      <xdr:row>3</xdr:row>
      <xdr:rowOff>105834</xdr:rowOff>
    </xdr:to>
    <xdr:cxnSp macro="">
      <xdr:nvCxnSpPr>
        <xdr:cNvPr id="215" name="Straight Connector 214"/>
        <xdr:cNvCxnSpPr/>
      </xdr:nvCxnSpPr>
      <xdr:spPr>
        <a:xfrm flipH="1" flipV="1">
          <a:off x="2180167" y="6773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31750</xdr:colOff>
      <xdr:row>2</xdr:row>
      <xdr:rowOff>95250</xdr:rowOff>
    </xdr:from>
    <xdr:to>
      <xdr:col>7</xdr:col>
      <xdr:colOff>95251</xdr:colOff>
      <xdr:row>2</xdr:row>
      <xdr:rowOff>95251</xdr:rowOff>
    </xdr:to>
    <xdr:cxnSp macro="">
      <xdr:nvCxnSpPr>
        <xdr:cNvPr id="216" name="Straight Connector 215"/>
        <xdr:cNvCxnSpPr/>
      </xdr:nvCxnSpPr>
      <xdr:spPr>
        <a:xfrm flipH="1" flipV="1">
          <a:off x="2190750" y="476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2053167</xdr:colOff>
      <xdr:row>1</xdr:row>
      <xdr:rowOff>105833</xdr:rowOff>
    </xdr:from>
    <xdr:to>
      <xdr:col>7</xdr:col>
      <xdr:colOff>63503</xdr:colOff>
      <xdr:row>1</xdr:row>
      <xdr:rowOff>116421</xdr:rowOff>
    </xdr:to>
    <xdr:cxnSp macro="">
      <xdr:nvCxnSpPr>
        <xdr:cNvPr id="217" name="Straight Connector 216"/>
        <xdr:cNvCxnSpPr/>
      </xdr:nvCxnSpPr>
      <xdr:spPr>
        <a:xfrm flipH="1" flipV="1">
          <a:off x="10593917" y="296333"/>
          <a:ext cx="2804586" cy="10588"/>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21166</xdr:colOff>
      <xdr:row>13</xdr:row>
      <xdr:rowOff>95250</xdr:rowOff>
    </xdr:from>
    <xdr:to>
      <xdr:col>7</xdr:col>
      <xdr:colOff>84667</xdr:colOff>
      <xdr:row>13</xdr:row>
      <xdr:rowOff>95251</xdr:rowOff>
    </xdr:to>
    <xdr:cxnSp macro="">
      <xdr:nvCxnSpPr>
        <xdr:cNvPr id="218" name="Straight Connector 217"/>
        <xdr:cNvCxnSpPr/>
      </xdr:nvCxnSpPr>
      <xdr:spPr>
        <a:xfrm flipH="1" flipV="1">
          <a:off x="2180166" y="2571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306917</xdr:colOff>
      <xdr:row>22</xdr:row>
      <xdr:rowOff>158751</xdr:rowOff>
    </xdr:from>
    <xdr:to>
      <xdr:col>5</xdr:col>
      <xdr:colOff>338668</xdr:colOff>
      <xdr:row>54</xdr:row>
      <xdr:rowOff>21167</xdr:rowOff>
    </xdr:to>
    <xdr:cxnSp macro="">
      <xdr:nvCxnSpPr>
        <xdr:cNvPr id="221" name="Straight Connector 220"/>
        <xdr:cNvCxnSpPr/>
      </xdr:nvCxnSpPr>
      <xdr:spPr>
        <a:xfrm flipH="1">
          <a:off x="6974417" y="4307418"/>
          <a:ext cx="31751" cy="6233582"/>
        </a:xfrm>
        <a:prstGeom prst="line">
          <a:avLst/>
        </a:prstGeom>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10583</xdr:colOff>
      <xdr:row>42</xdr:row>
      <xdr:rowOff>105833</xdr:rowOff>
    </xdr:from>
    <xdr:to>
      <xdr:col>7</xdr:col>
      <xdr:colOff>74084</xdr:colOff>
      <xdr:row>42</xdr:row>
      <xdr:rowOff>105834</xdr:rowOff>
    </xdr:to>
    <xdr:cxnSp macro="">
      <xdr:nvCxnSpPr>
        <xdr:cNvPr id="222" name="Straight Connector 221"/>
        <xdr:cNvCxnSpPr/>
      </xdr:nvCxnSpPr>
      <xdr:spPr>
        <a:xfrm flipH="1" flipV="1">
          <a:off x="2169583" y="8223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10583</xdr:colOff>
      <xdr:row>40</xdr:row>
      <xdr:rowOff>116416</xdr:rowOff>
    </xdr:from>
    <xdr:to>
      <xdr:col>7</xdr:col>
      <xdr:colOff>74084</xdr:colOff>
      <xdr:row>40</xdr:row>
      <xdr:rowOff>116417</xdr:rowOff>
    </xdr:to>
    <xdr:cxnSp macro="">
      <xdr:nvCxnSpPr>
        <xdr:cNvPr id="223" name="Straight Connector 222"/>
        <xdr:cNvCxnSpPr/>
      </xdr:nvCxnSpPr>
      <xdr:spPr>
        <a:xfrm flipH="1" flipV="1">
          <a:off x="2169583" y="785283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10584</xdr:colOff>
      <xdr:row>39</xdr:row>
      <xdr:rowOff>95250</xdr:rowOff>
    </xdr:from>
    <xdr:to>
      <xdr:col>7</xdr:col>
      <xdr:colOff>74085</xdr:colOff>
      <xdr:row>39</xdr:row>
      <xdr:rowOff>95251</xdr:rowOff>
    </xdr:to>
    <xdr:cxnSp macro="">
      <xdr:nvCxnSpPr>
        <xdr:cNvPr id="224" name="Straight Connector 223"/>
        <xdr:cNvCxnSpPr/>
      </xdr:nvCxnSpPr>
      <xdr:spPr>
        <a:xfrm flipH="1" flipV="1">
          <a:off x="2169584" y="76411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37</xdr:row>
      <xdr:rowOff>105833</xdr:rowOff>
    </xdr:from>
    <xdr:to>
      <xdr:col>7</xdr:col>
      <xdr:colOff>63501</xdr:colOff>
      <xdr:row>37</xdr:row>
      <xdr:rowOff>105834</xdr:rowOff>
    </xdr:to>
    <xdr:cxnSp macro="">
      <xdr:nvCxnSpPr>
        <xdr:cNvPr id="225" name="Straight Connector 224"/>
        <xdr:cNvCxnSpPr/>
      </xdr:nvCxnSpPr>
      <xdr:spPr>
        <a:xfrm flipH="1" flipV="1">
          <a:off x="2159000" y="7270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46566</xdr:colOff>
      <xdr:row>36</xdr:row>
      <xdr:rowOff>110067</xdr:rowOff>
    </xdr:from>
    <xdr:to>
      <xdr:col>7</xdr:col>
      <xdr:colOff>110067</xdr:colOff>
      <xdr:row>36</xdr:row>
      <xdr:rowOff>110068</xdr:rowOff>
    </xdr:to>
    <xdr:cxnSp macro="">
      <xdr:nvCxnSpPr>
        <xdr:cNvPr id="226" name="Straight Connector 225"/>
        <xdr:cNvCxnSpPr/>
      </xdr:nvCxnSpPr>
      <xdr:spPr>
        <a:xfrm flipH="1" flipV="1">
          <a:off x="2205566" y="708448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14817</xdr:colOff>
      <xdr:row>38</xdr:row>
      <xdr:rowOff>88900</xdr:rowOff>
    </xdr:from>
    <xdr:to>
      <xdr:col>7</xdr:col>
      <xdr:colOff>78318</xdr:colOff>
      <xdr:row>38</xdr:row>
      <xdr:rowOff>88901</xdr:rowOff>
    </xdr:to>
    <xdr:cxnSp macro="">
      <xdr:nvCxnSpPr>
        <xdr:cNvPr id="227" name="Straight Connector 226"/>
        <xdr:cNvCxnSpPr/>
      </xdr:nvCxnSpPr>
      <xdr:spPr>
        <a:xfrm flipH="1" flipV="1">
          <a:off x="2173817" y="74443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35983</xdr:colOff>
      <xdr:row>41</xdr:row>
      <xdr:rowOff>110066</xdr:rowOff>
    </xdr:from>
    <xdr:to>
      <xdr:col>7</xdr:col>
      <xdr:colOff>99484</xdr:colOff>
      <xdr:row>41</xdr:row>
      <xdr:rowOff>110067</xdr:rowOff>
    </xdr:to>
    <xdr:cxnSp macro="">
      <xdr:nvCxnSpPr>
        <xdr:cNvPr id="228" name="Straight Connector 227"/>
        <xdr:cNvCxnSpPr/>
      </xdr:nvCxnSpPr>
      <xdr:spPr>
        <a:xfrm flipH="1" flipV="1">
          <a:off x="2194983" y="8036983"/>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21167</xdr:colOff>
      <xdr:row>34</xdr:row>
      <xdr:rowOff>63500</xdr:rowOff>
    </xdr:from>
    <xdr:to>
      <xdr:col>7</xdr:col>
      <xdr:colOff>84668</xdr:colOff>
      <xdr:row>34</xdr:row>
      <xdr:rowOff>63501</xdr:rowOff>
    </xdr:to>
    <xdr:cxnSp macro="">
      <xdr:nvCxnSpPr>
        <xdr:cNvPr id="229" name="Straight Connector 228"/>
        <xdr:cNvCxnSpPr/>
      </xdr:nvCxnSpPr>
      <xdr:spPr>
        <a:xfrm flipH="1" flipV="1">
          <a:off x="8561917" y="665691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2413000</xdr:colOff>
      <xdr:row>33</xdr:row>
      <xdr:rowOff>95252</xdr:rowOff>
    </xdr:from>
    <xdr:to>
      <xdr:col>7</xdr:col>
      <xdr:colOff>52919</xdr:colOff>
      <xdr:row>33</xdr:row>
      <xdr:rowOff>116416</xdr:rowOff>
    </xdr:to>
    <xdr:cxnSp macro="">
      <xdr:nvCxnSpPr>
        <xdr:cNvPr id="230" name="Straight Connector 229"/>
        <xdr:cNvCxnSpPr/>
      </xdr:nvCxnSpPr>
      <xdr:spPr>
        <a:xfrm flipH="1">
          <a:off x="10953750" y="6498169"/>
          <a:ext cx="2434169" cy="21164"/>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32</xdr:row>
      <xdr:rowOff>116417</xdr:rowOff>
    </xdr:from>
    <xdr:to>
      <xdr:col>7</xdr:col>
      <xdr:colOff>63501</xdr:colOff>
      <xdr:row>32</xdr:row>
      <xdr:rowOff>116418</xdr:rowOff>
    </xdr:to>
    <xdr:cxnSp macro="">
      <xdr:nvCxnSpPr>
        <xdr:cNvPr id="231" name="Straight Connector 230"/>
        <xdr:cNvCxnSpPr/>
      </xdr:nvCxnSpPr>
      <xdr:spPr>
        <a:xfrm flipH="1" flipV="1">
          <a:off x="2159000" y="632883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31</xdr:row>
      <xdr:rowOff>105833</xdr:rowOff>
    </xdr:from>
    <xdr:to>
      <xdr:col>7</xdr:col>
      <xdr:colOff>63501</xdr:colOff>
      <xdr:row>31</xdr:row>
      <xdr:rowOff>105834</xdr:rowOff>
    </xdr:to>
    <xdr:cxnSp macro="">
      <xdr:nvCxnSpPr>
        <xdr:cNvPr id="232" name="Straight Connector 231"/>
        <xdr:cNvCxnSpPr/>
      </xdr:nvCxnSpPr>
      <xdr:spPr>
        <a:xfrm flipH="1" flipV="1">
          <a:off x="2159000" y="6127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10584</xdr:colOff>
      <xdr:row>30</xdr:row>
      <xdr:rowOff>105833</xdr:rowOff>
    </xdr:from>
    <xdr:to>
      <xdr:col>7</xdr:col>
      <xdr:colOff>74085</xdr:colOff>
      <xdr:row>30</xdr:row>
      <xdr:rowOff>105834</xdr:rowOff>
    </xdr:to>
    <xdr:cxnSp macro="">
      <xdr:nvCxnSpPr>
        <xdr:cNvPr id="233" name="Straight Connector 232"/>
        <xdr:cNvCxnSpPr/>
      </xdr:nvCxnSpPr>
      <xdr:spPr>
        <a:xfrm flipH="1" flipV="1">
          <a:off x="2169584" y="59372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29</xdr:row>
      <xdr:rowOff>105834</xdr:rowOff>
    </xdr:from>
    <xdr:to>
      <xdr:col>7</xdr:col>
      <xdr:colOff>63501</xdr:colOff>
      <xdr:row>29</xdr:row>
      <xdr:rowOff>105835</xdr:rowOff>
    </xdr:to>
    <xdr:cxnSp macro="">
      <xdr:nvCxnSpPr>
        <xdr:cNvPr id="234" name="Straight Connector 233"/>
        <xdr:cNvCxnSpPr/>
      </xdr:nvCxnSpPr>
      <xdr:spPr>
        <a:xfrm flipH="1" flipV="1">
          <a:off x="2159000" y="5746751"/>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21166</xdr:colOff>
      <xdr:row>28</xdr:row>
      <xdr:rowOff>116417</xdr:rowOff>
    </xdr:from>
    <xdr:to>
      <xdr:col>7</xdr:col>
      <xdr:colOff>84667</xdr:colOff>
      <xdr:row>28</xdr:row>
      <xdr:rowOff>116418</xdr:rowOff>
    </xdr:to>
    <xdr:cxnSp macro="">
      <xdr:nvCxnSpPr>
        <xdr:cNvPr id="235" name="Straight Connector 234"/>
        <xdr:cNvCxnSpPr/>
      </xdr:nvCxnSpPr>
      <xdr:spPr>
        <a:xfrm flipH="1" flipV="1">
          <a:off x="2180166" y="556683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27</xdr:row>
      <xdr:rowOff>116417</xdr:rowOff>
    </xdr:from>
    <xdr:to>
      <xdr:col>7</xdr:col>
      <xdr:colOff>63501</xdr:colOff>
      <xdr:row>27</xdr:row>
      <xdr:rowOff>116418</xdr:rowOff>
    </xdr:to>
    <xdr:cxnSp macro="">
      <xdr:nvCxnSpPr>
        <xdr:cNvPr id="236" name="Straight Connector 235"/>
        <xdr:cNvCxnSpPr/>
      </xdr:nvCxnSpPr>
      <xdr:spPr>
        <a:xfrm flipH="1" flipV="1">
          <a:off x="2159000" y="5376334"/>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21167</xdr:colOff>
      <xdr:row>26</xdr:row>
      <xdr:rowOff>95250</xdr:rowOff>
    </xdr:from>
    <xdr:to>
      <xdr:col>7</xdr:col>
      <xdr:colOff>84668</xdr:colOff>
      <xdr:row>26</xdr:row>
      <xdr:rowOff>95251</xdr:rowOff>
    </xdr:to>
    <xdr:cxnSp macro="">
      <xdr:nvCxnSpPr>
        <xdr:cNvPr id="237" name="Straight Connector 236"/>
        <xdr:cNvCxnSpPr/>
      </xdr:nvCxnSpPr>
      <xdr:spPr>
        <a:xfrm flipH="1" flipV="1">
          <a:off x="2180167" y="51646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21167</xdr:colOff>
      <xdr:row>25</xdr:row>
      <xdr:rowOff>105833</xdr:rowOff>
    </xdr:from>
    <xdr:to>
      <xdr:col>7</xdr:col>
      <xdr:colOff>84668</xdr:colOff>
      <xdr:row>25</xdr:row>
      <xdr:rowOff>105834</xdr:rowOff>
    </xdr:to>
    <xdr:cxnSp macro="">
      <xdr:nvCxnSpPr>
        <xdr:cNvPr id="238" name="Straight Connector 237"/>
        <xdr:cNvCxnSpPr/>
      </xdr:nvCxnSpPr>
      <xdr:spPr>
        <a:xfrm flipH="1" flipV="1">
          <a:off x="2180167" y="4984750"/>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31750</xdr:colOff>
      <xdr:row>24</xdr:row>
      <xdr:rowOff>95250</xdr:rowOff>
    </xdr:from>
    <xdr:to>
      <xdr:col>7</xdr:col>
      <xdr:colOff>95251</xdr:colOff>
      <xdr:row>24</xdr:row>
      <xdr:rowOff>95251</xdr:rowOff>
    </xdr:to>
    <xdr:cxnSp macro="">
      <xdr:nvCxnSpPr>
        <xdr:cNvPr id="239" name="Straight Connector 238"/>
        <xdr:cNvCxnSpPr/>
      </xdr:nvCxnSpPr>
      <xdr:spPr>
        <a:xfrm flipH="1" flipV="1">
          <a:off x="2190750" y="47836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3259667</xdr:colOff>
      <xdr:row>23</xdr:row>
      <xdr:rowOff>105833</xdr:rowOff>
    </xdr:from>
    <xdr:to>
      <xdr:col>7</xdr:col>
      <xdr:colOff>63503</xdr:colOff>
      <xdr:row>23</xdr:row>
      <xdr:rowOff>116421</xdr:rowOff>
    </xdr:to>
    <xdr:cxnSp macro="">
      <xdr:nvCxnSpPr>
        <xdr:cNvPr id="240" name="Straight Connector 239"/>
        <xdr:cNvCxnSpPr/>
      </xdr:nvCxnSpPr>
      <xdr:spPr>
        <a:xfrm flipH="1" flipV="1">
          <a:off x="11959167" y="4603750"/>
          <a:ext cx="1598086" cy="10588"/>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21166</xdr:colOff>
      <xdr:row>35</xdr:row>
      <xdr:rowOff>95250</xdr:rowOff>
    </xdr:from>
    <xdr:to>
      <xdr:col>7</xdr:col>
      <xdr:colOff>84667</xdr:colOff>
      <xdr:row>35</xdr:row>
      <xdr:rowOff>95251</xdr:rowOff>
    </xdr:to>
    <xdr:cxnSp macro="">
      <xdr:nvCxnSpPr>
        <xdr:cNvPr id="241" name="Straight Connector 240"/>
        <xdr:cNvCxnSpPr/>
      </xdr:nvCxnSpPr>
      <xdr:spPr>
        <a:xfrm flipH="1" flipV="1">
          <a:off x="2180166" y="6879167"/>
          <a:ext cx="485775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264583</xdr:colOff>
      <xdr:row>22</xdr:row>
      <xdr:rowOff>95250</xdr:rowOff>
    </xdr:from>
    <xdr:to>
      <xdr:col>7</xdr:col>
      <xdr:colOff>285750</xdr:colOff>
      <xdr:row>45</xdr:row>
      <xdr:rowOff>21167</xdr:rowOff>
    </xdr:to>
    <xdr:cxnSp macro="">
      <xdr:nvCxnSpPr>
        <xdr:cNvPr id="255" name="Straight Connector 254"/>
        <xdr:cNvCxnSpPr/>
      </xdr:nvCxnSpPr>
      <xdr:spPr>
        <a:xfrm flipH="1">
          <a:off x="12795250" y="4243917"/>
          <a:ext cx="21167" cy="4582583"/>
        </a:xfrm>
        <a:prstGeom prst="line">
          <a:avLst/>
        </a:prstGeom>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349251</xdr:colOff>
      <xdr:row>45</xdr:row>
      <xdr:rowOff>42334</xdr:rowOff>
    </xdr:from>
    <xdr:to>
      <xdr:col>7</xdr:col>
      <xdr:colOff>254000</xdr:colOff>
      <xdr:row>51</xdr:row>
      <xdr:rowOff>42334</xdr:rowOff>
    </xdr:to>
    <xdr:cxnSp macro="">
      <xdr:nvCxnSpPr>
        <xdr:cNvPr id="256" name="Straight Connector 255"/>
        <xdr:cNvCxnSpPr/>
      </xdr:nvCxnSpPr>
      <xdr:spPr>
        <a:xfrm flipH="1">
          <a:off x="7461251" y="8847667"/>
          <a:ext cx="5323416" cy="1143000"/>
        </a:xfrm>
        <a:prstGeom prst="line">
          <a:avLst/>
        </a:prstGeom>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74085</xdr:colOff>
      <xdr:row>46</xdr:row>
      <xdr:rowOff>105834</xdr:rowOff>
    </xdr:from>
    <xdr:to>
      <xdr:col>3</xdr:col>
      <xdr:colOff>878416</xdr:colOff>
      <xdr:row>46</xdr:row>
      <xdr:rowOff>105835</xdr:rowOff>
    </xdr:to>
    <xdr:cxnSp macro="">
      <xdr:nvCxnSpPr>
        <xdr:cNvPr id="263" name="Straight Connector 262"/>
        <xdr:cNvCxnSpPr/>
      </xdr:nvCxnSpPr>
      <xdr:spPr>
        <a:xfrm flipH="1">
          <a:off x="1788585" y="9101667"/>
          <a:ext cx="804331" cy="1"/>
        </a:xfrm>
        <a:prstGeom prst="line">
          <a:avLst/>
        </a:prstGeom>
        <a:ln>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74084</xdr:colOff>
      <xdr:row>48</xdr:row>
      <xdr:rowOff>127000</xdr:rowOff>
    </xdr:from>
    <xdr:to>
      <xdr:col>3</xdr:col>
      <xdr:colOff>825500</xdr:colOff>
      <xdr:row>48</xdr:row>
      <xdr:rowOff>127001</xdr:rowOff>
    </xdr:to>
    <xdr:cxnSp macro="">
      <xdr:nvCxnSpPr>
        <xdr:cNvPr id="266" name="Straight Connector 265"/>
        <xdr:cNvCxnSpPr/>
      </xdr:nvCxnSpPr>
      <xdr:spPr>
        <a:xfrm flipH="1" flipV="1">
          <a:off x="1788584" y="9503833"/>
          <a:ext cx="751416" cy="1"/>
        </a:xfrm>
        <a:prstGeom prst="line">
          <a:avLst/>
        </a:prstGeom>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63500</xdr:colOff>
      <xdr:row>47</xdr:row>
      <xdr:rowOff>105833</xdr:rowOff>
    </xdr:from>
    <xdr:to>
      <xdr:col>3</xdr:col>
      <xdr:colOff>751417</xdr:colOff>
      <xdr:row>47</xdr:row>
      <xdr:rowOff>105833</xdr:rowOff>
    </xdr:to>
    <xdr:cxnSp macro="">
      <xdr:nvCxnSpPr>
        <xdr:cNvPr id="269" name="Straight Connector 268"/>
        <xdr:cNvCxnSpPr/>
      </xdr:nvCxnSpPr>
      <xdr:spPr>
        <a:xfrm>
          <a:off x="1778000" y="9292166"/>
          <a:ext cx="687917" cy="0"/>
        </a:xfrm>
        <a:prstGeom prst="line">
          <a:avLst/>
        </a:prstGeom>
        <a:ln>
          <a:solidFill>
            <a:srgbClr val="00B0F0"/>
          </a:solidFill>
          <a:prstDash val="sysDash"/>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603250</xdr:colOff>
      <xdr:row>12</xdr:row>
      <xdr:rowOff>10583</xdr:rowOff>
    </xdr:from>
    <xdr:to>
      <xdr:col>6</xdr:col>
      <xdr:colOff>95250</xdr:colOff>
      <xdr:row>23</xdr:row>
      <xdr:rowOff>0</xdr:rowOff>
    </xdr:to>
    <xdr:sp macro="" textlink="">
      <xdr:nvSpPr>
        <xdr:cNvPr id="272" name="Down Arrow 271"/>
        <xdr:cNvSpPr/>
      </xdr:nvSpPr>
      <xdr:spPr>
        <a:xfrm>
          <a:off x="7715250" y="2296583"/>
          <a:ext cx="116417" cy="22013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613834</xdr:colOff>
      <xdr:row>23</xdr:row>
      <xdr:rowOff>179916</xdr:rowOff>
    </xdr:from>
    <xdr:to>
      <xdr:col>6</xdr:col>
      <xdr:colOff>95250</xdr:colOff>
      <xdr:row>33</xdr:row>
      <xdr:rowOff>63500</xdr:rowOff>
    </xdr:to>
    <xdr:sp macro="" textlink="">
      <xdr:nvSpPr>
        <xdr:cNvPr id="273" name="Down Arrow 272"/>
        <xdr:cNvSpPr/>
      </xdr:nvSpPr>
      <xdr:spPr>
        <a:xfrm>
          <a:off x="7725834" y="4677833"/>
          <a:ext cx="105833" cy="178858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1682750</xdr:colOff>
      <xdr:row>33</xdr:row>
      <xdr:rowOff>31751</xdr:rowOff>
    </xdr:from>
    <xdr:to>
      <xdr:col>6</xdr:col>
      <xdr:colOff>8003</xdr:colOff>
      <xdr:row>33</xdr:row>
      <xdr:rowOff>179916</xdr:rowOff>
    </xdr:to>
    <xdr:sp macro="" textlink="">
      <xdr:nvSpPr>
        <xdr:cNvPr id="275" name="Down Arrow 274"/>
        <xdr:cNvSpPr/>
      </xdr:nvSpPr>
      <xdr:spPr>
        <a:xfrm rot="5400000">
          <a:off x="5719002" y="4557416"/>
          <a:ext cx="148165" cy="390267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910167</xdr:colOff>
      <xdr:row>25</xdr:row>
      <xdr:rowOff>0</xdr:rowOff>
    </xdr:from>
    <xdr:to>
      <xdr:col>3</xdr:col>
      <xdr:colOff>74083</xdr:colOff>
      <xdr:row>33</xdr:row>
      <xdr:rowOff>52916</xdr:rowOff>
    </xdr:to>
    <xdr:sp macro="" textlink="">
      <xdr:nvSpPr>
        <xdr:cNvPr id="277" name="Down Arrow 276"/>
        <xdr:cNvSpPr/>
      </xdr:nvSpPr>
      <xdr:spPr>
        <a:xfrm rot="10800000">
          <a:off x="2137834" y="4878917"/>
          <a:ext cx="95249" cy="157691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888999</xdr:colOff>
      <xdr:row>1</xdr:row>
      <xdr:rowOff>137583</xdr:rowOff>
    </xdr:from>
    <xdr:to>
      <xdr:col>3</xdr:col>
      <xdr:colOff>63499</xdr:colOff>
      <xdr:row>11</xdr:row>
      <xdr:rowOff>10582</xdr:rowOff>
    </xdr:to>
    <xdr:sp macro="" textlink="">
      <xdr:nvSpPr>
        <xdr:cNvPr id="278" name="Down Arrow 277"/>
        <xdr:cNvSpPr/>
      </xdr:nvSpPr>
      <xdr:spPr>
        <a:xfrm rot="10800000">
          <a:off x="2116666" y="328083"/>
          <a:ext cx="105833" cy="17779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42334</xdr:colOff>
      <xdr:row>49</xdr:row>
      <xdr:rowOff>52916</xdr:rowOff>
    </xdr:from>
    <xdr:to>
      <xdr:col>3</xdr:col>
      <xdr:colOff>613837</xdr:colOff>
      <xdr:row>49</xdr:row>
      <xdr:rowOff>158749</xdr:rowOff>
    </xdr:to>
    <xdr:sp macro="" textlink="">
      <xdr:nvSpPr>
        <xdr:cNvPr id="281" name="Down Arrow 280"/>
        <xdr:cNvSpPr/>
      </xdr:nvSpPr>
      <xdr:spPr>
        <a:xfrm rot="16200000">
          <a:off x="1989669" y="9387414"/>
          <a:ext cx="105833" cy="57150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ntent.ces.ncsu.edu/nutrient-removal-by-crops-in-north-caroli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hyperlink" Target="http://www.johnnyseeds.com/assets/information/direct_seeded_vegetable_crops_calculation_yield_charts.pdf" TargetMode="External"/><Relationship Id="rId2" Type="http://schemas.openxmlformats.org/officeDocument/2006/relationships/hyperlink" Target="http://edgecombe.ces.ncsu.edu/files/library/33/production%20data%20table%20edit%5b1%5d.pdf" TargetMode="External"/><Relationship Id="rId1" Type="http://schemas.openxmlformats.org/officeDocument/2006/relationships/hyperlink" Target="http://www.lsuagcenter.com/en/lawn_garden/home_gardening/vegetables/Expected+Vegetable+Garden+Yields.htm" TargetMode="External"/><Relationship Id="rId5" Type="http://schemas.openxmlformats.org/officeDocument/2006/relationships/printerSettings" Target="../printerSettings/printerSettings10.bin"/><Relationship Id="rId4" Type="http://schemas.openxmlformats.org/officeDocument/2006/relationships/hyperlink" Target="https://njaes.rutgers.edu/pubs/urbanfringe/pdfs/urbanfringe-v07n01.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bae.ncsu.edu/topic/irrigation_society/info/NC_Irrigation_Guide_Apr_2010.pdf" TargetMode="External"/><Relationship Id="rId1" Type="http://schemas.openxmlformats.org/officeDocument/2006/relationships/hyperlink" Target="http://extension.udel.edu/ag/vegetable-fruit-resources/vegetable-small-fruits-program/research-reports-fact-sheets/vegetable-crop-budgets-irrigation-cost-calculators/"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ls.gov/regions/mid-atlantic/data/averageretailfoodandenergyprices_usandsouth_table.htm" TargetMode="External"/><Relationship Id="rId1" Type="http://schemas.openxmlformats.org/officeDocument/2006/relationships/hyperlink" Target="http://www.ncagr.gov/markets/mktnews/retail_farmers_markets_reports.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roxburyfarm.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content.ces.ncsu.edu/north-carolina-agricultural-chemicals-manual/chemical-weed-control" TargetMode="External"/><Relationship Id="rId1" Type="http://schemas.openxmlformats.org/officeDocument/2006/relationships/hyperlink" Target="http://www.thepacker.com/sites/produce/files/SEVegGuide_2016.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amazon.com/gp/product/0865717656/ref=as_li_qf_sp_asin_il_tl?ie=UTF8&amp;camp=1789&amp;creative=9325&amp;creativeASIN=0865717656&amp;linkCode=as2&amp;tag=permacuappret-20&amp;linkId=XPT4XD3XSKOATXAS" TargetMode="External"/><Relationship Id="rId2" Type="http://schemas.openxmlformats.org/officeDocument/2006/relationships/hyperlink" Target="http://douglas.uwex.edu/files/2010/05/Market-Gardening-Getting-Started-ATTRA.pdf" TargetMode="External"/><Relationship Id="rId1" Type="http://schemas.openxmlformats.org/officeDocument/2006/relationships/hyperlink" Target="http://www.dripworks.com/product/KDT3"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johnnyseeds.co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johnnyseeds.com/assets/information/direct_seeded_vegetable_crops_calculation_yield_charts.pdf" TargetMode="External"/><Relationship Id="rId2" Type="http://schemas.openxmlformats.org/officeDocument/2006/relationships/hyperlink" Target="http://edgecombe.ces.ncsu.edu/files/library/33/production%20data%20table%20edit%5b1%5d.pdf" TargetMode="External"/><Relationship Id="rId1" Type="http://schemas.openxmlformats.org/officeDocument/2006/relationships/hyperlink" Target="http://www.lsuagcenter.com/en/lawn_garden/home_gardening/vegetables/Expected+Vegetable+Garden+Yields.htm" TargetMode="External"/><Relationship Id="rId5" Type="http://schemas.openxmlformats.org/officeDocument/2006/relationships/printerSettings" Target="../printerSettings/printerSettings8.bin"/><Relationship Id="rId4" Type="http://schemas.openxmlformats.org/officeDocument/2006/relationships/hyperlink" Target="https://njaes.rutgers.edu/pubs/urbanfringe/pdfs/urbanfringe-v07n01.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johnnyseeds.com/assets/information/direct_seeded_vegetable_crops_calculation_yield_charts.pdf" TargetMode="External"/><Relationship Id="rId2" Type="http://schemas.openxmlformats.org/officeDocument/2006/relationships/hyperlink" Target="http://edgecombe.ces.ncsu.edu/files/library/33/production%20data%20table%20edit%5b1%5d.pdf" TargetMode="External"/><Relationship Id="rId1" Type="http://schemas.openxmlformats.org/officeDocument/2006/relationships/hyperlink" Target="http://www.lsuagcenter.com/en/lawn_garden/home_gardening/vegetables/Expected+Vegetable+Garden+Yields.htm" TargetMode="External"/><Relationship Id="rId5" Type="http://schemas.openxmlformats.org/officeDocument/2006/relationships/printerSettings" Target="../printerSettings/printerSettings9.bin"/><Relationship Id="rId4" Type="http://schemas.openxmlformats.org/officeDocument/2006/relationships/hyperlink" Target="https://njaes.rutgers.edu/pubs/urbanfringe/pdfs/urbanfringe-v07n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03"/>
  <sheetViews>
    <sheetView tabSelected="1" zoomScale="80" zoomScaleNormal="80" workbookViewId="0">
      <selection activeCell="D11" sqref="D11"/>
    </sheetView>
  </sheetViews>
  <sheetFormatPr defaultRowHeight="14.25"/>
  <cols>
    <col min="1" max="1" width="8.140625" style="100" customWidth="1"/>
    <col min="2" max="2" width="45" style="100" customWidth="1"/>
    <col min="3" max="6" width="29.7109375" style="100" customWidth="1"/>
    <col min="7" max="9" width="9.140625" style="100"/>
    <col min="10" max="11" width="9.5703125" style="100" customWidth="1"/>
    <col min="12" max="12" width="10.140625" style="100" bestFit="1" customWidth="1"/>
    <col min="13" max="14" width="9.140625" style="100"/>
    <col min="15" max="15" width="10.5703125" style="100" customWidth="1"/>
    <col min="16" max="16" width="11.85546875" style="100" customWidth="1"/>
    <col min="17" max="16384" width="9.140625" style="100"/>
  </cols>
  <sheetData>
    <row r="2" spans="2:7" ht="87.75" customHeight="1">
      <c r="B2" s="604"/>
      <c r="C2" s="604"/>
      <c r="D2" s="604"/>
      <c r="E2" s="604"/>
      <c r="F2" s="604"/>
    </row>
    <row r="3" spans="2:7" ht="24.75" customHeight="1" thickBot="1">
      <c r="B3" s="101" t="s">
        <v>400</v>
      </c>
      <c r="C3" s="602"/>
      <c r="D3" s="602"/>
      <c r="E3" s="602"/>
      <c r="F3" s="102"/>
      <c r="G3" s="103"/>
    </row>
    <row r="4" spans="2:7" ht="24" customHeight="1" thickBot="1">
      <c r="B4" s="344"/>
      <c r="C4" s="357" t="s">
        <v>538</v>
      </c>
      <c r="F4" s="105"/>
    </row>
    <row r="5" spans="2:7" ht="9.75" customHeight="1" thickBot="1">
      <c r="B5" s="103"/>
      <c r="C5" s="104"/>
      <c r="D5" s="102"/>
      <c r="E5" s="102"/>
      <c r="F5" s="105"/>
    </row>
    <row r="6" spans="2:7" ht="24" customHeight="1">
      <c r="B6" s="106" t="s">
        <v>420</v>
      </c>
      <c r="C6" s="540">
        <v>20000</v>
      </c>
      <c r="E6" s="107" t="s">
        <v>575</v>
      </c>
      <c r="F6" s="542">
        <v>500</v>
      </c>
    </row>
    <row r="7" spans="2:7" ht="24" customHeight="1">
      <c r="B7" s="106" t="s">
        <v>550</v>
      </c>
      <c r="C7" s="541">
        <v>800</v>
      </c>
      <c r="D7" s="102"/>
      <c r="E7" s="106" t="s">
        <v>528</v>
      </c>
      <c r="F7" s="426">
        <v>60</v>
      </c>
    </row>
    <row r="8" spans="2:7" ht="24" customHeight="1">
      <c r="B8" s="104" t="s">
        <v>551</v>
      </c>
      <c r="C8" s="541">
        <v>5000</v>
      </c>
      <c r="D8" s="102"/>
      <c r="E8" s="107" t="s">
        <v>433</v>
      </c>
      <c r="F8" s="543">
        <v>500</v>
      </c>
    </row>
    <row r="9" spans="2:7" ht="24" customHeight="1">
      <c r="B9" s="109" t="s">
        <v>509</v>
      </c>
      <c r="C9" s="426">
        <v>10</v>
      </c>
      <c r="E9" s="109" t="s">
        <v>529</v>
      </c>
      <c r="F9" s="426">
        <v>30</v>
      </c>
    </row>
    <row r="10" spans="2:7" ht="24" customHeight="1" thickBot="1">
      <c r="B10" s="109" t="s">
        <v>444</v>
      </c>
      <c r="C10" s="494">
        <v>4</v>
      </c>
      <c r="E10" s="109" t="s">
        <v>530</v>
      </c>
      <c r="F10" s="494">
        <v>30</v>
      </c>
    </row>
    <row r="11" spans="2:7" ht="24" customHeight="1">
      <c r="B11" s="109"/>
      <c r="C11" s="110"/>
      <c r="E11" s="109"/>
      <c r="F11" s="108"/>
    </row>
    <row r="12" spans="2:7" ht="52.5" customHeight="1" thickBot="1">
      <c r="B12" s="111" t="s">
        <v>300</v>
      </c>
      <c r="C12" s="111"/>
      <c r="D12" s="359" t="s">
        <v>301</v>
      </c>
      <c r="E12" s="360" t="s">
        <v>395</v>
      </c>
      <c r="F12" s="204" t="s">
        <v>163</v>
      </c>
    </row>
    <row r="13" spans="2:7" ht="18">
      <c r="B13" s="279" t="str">
        <f>'EARLY SEASON CROPS 1'!B7</f>
        <v>Beans, bush</v>
      </c>
      <c r="C13" s="147"/>
      <c r="D13" s="380">
        <f>('EARLY SEASON CROPS 1'!C7*'EARLY SEASON CROPS 1'!D7*'EARLY SEASON CROPS 1'!G7)+('MID SEASON CROPS 2'!C7*'MID SEASON CROPS 2'!D7*'MID SEASON CROPS 2'!G7)+('LATE SEASON CROPS 3'!C7*'LATE SEASON CROPS 3'!D7*'LATE SEASON CROPS 3'!G7)</f>
        <v>0</v>
      </c>
      <c r="E13" s="527">
        <f>'Sales Price Sheet'!D8</f>
        <v>1</v>
      </c>
      <c r="F13" s="457">
        <f t="shared" ref="F13:F47" si="0">D13*E13</f>
        <v>0</v>
      </c>
    </row>
    <row r="14" spans="2:7" ht="18">
      <c r="B14" s="279" t="str">
        <f>'EARLY SEASON CROPS 1'!B8</f>
        <v>Beans, pole</v>
      </c>
      <c r="C14" s="147"/>
      <c r="D14" s="380">
        <f>('EARLY SEASON CROPS 1'!C8*'EARLY SEASON CROPS 1'!D8*'EARLY SEASON CROPS 1'!G8)+('MID SEASON CROPS 2'!C8*'MID SEASON CROPS 2'!D8*'MID SEASON CROPS 2'!G8)+('LATE SEASON CROPS 3'!C8*'LATE SEASON CROPS 3'!D8*'LATE SEASON CROPS 3'!G8)</f>
        <v>0</v>
      </c>
      <c r="E14" s="527">
        <f>'Sales Price Sheet'!D9</f>
        <v>1</v>
      </c>
      <c r="F14" s="457">
        <f t="shared" si="0"/>
        <v>0</v>
      </c>
    </row>
    <row r="15" spans="2:7" ht="18">
      <c r="B15" s="279" t="str">
        <f>'EARLY SEASON CROPS 1'!B9</f>
        <v>Beets</v>
      </c>
      <c r="C15" s="147"/>
      <c r="D15" s="380">
        <f>('EARLY SEASON CROPS 1'!C9*'EARLY SEASON CROPS 1'!D9*'EARLY SEASON CROPS 1'!G9)+('MID SEASON CROPS 2'!C9*'MID SEASON CROPS 2'!D9*'MID SEASON CROPS 2'!G9)+('LATE SEASON CROPS 3'!C9*'LATE SEASON CROPS 3'!D9*'LATE SEASON CROPS 3'!G9)</f>
        <v>0</v>
      </c>
      <c r="E15" s="527">
        <f>'Sales Price Sheet'!D10</f>
        <v>1.5</v>
      </c>
      <c r="F15" s="457">
        <f t="shared" si="0"/>
        <v>0</v>
      </c>
    </row>
    <row r="16" spans="2:7" ht="18">
      <c r="B16" s="279" t="str">
        <f>'EARLY SEASON CROPS 1'!B10</f>
        <v>Broccoli</v>
      </c>
      <c r="C16" s="147"/>
      <c r="D16" s="380">
        <f>('EARLY SEASON CROPS 1'!C10*'EARLY SEASON CROPS 1'!D10*'EARLY SEASON CROPS 1'!G10)+('MID SEASON CROPS 2'!C10*'MID SEASON CROPS 2'!D10*'MID SEASON CROPS 2'!G10)+('LATE SEASON CROPS 3'!C10*'LATE SEASON CROPS 3'!D10*'LATE SEASON CROPS 3'!G10)</f>
        <v>640</v>
      </c>
      <c r="E16" s="527">
        <f>'Sales Price Sheet'!D11</f>
        <v>2</v>
      </c>
      <c r="F16" s="457">
        <f t="shared" si="0"/>
        <v>1280</v>
      </c>
    </row>
    <row r="17" spans="2:6" ht="18">
      <c r="B17" s="279" t="str">
        <f>'EARLY SEASON CROPS 1'!B11</f>
        <v>Brussel Sprouts</v>
      </c>
      <c r="C17" s="147"/>
      <c r="D17" s="380">
        <f>('EARLY SEASON CROPS 1'!C11*'EARLY SEASON CROPS 1'!D11*'EARLY SEASON CROPS 1'!G11)+('MID SEASON CROPS 2'!C11*'MID SEASON CROPS 2'!D11*'MID SEASON CROPS 2'!G11)+('LATE SEASON CROPS 3'!C11*'LATE SEASON CROPS 3'!D11*'LATE SEASON CROPS 3'!G11)</f>
        <v>300</v>
      </c>
      <c r="E17" s="527">
        <f>'Sales Price Sheet'!D12</f>
        <v>4</v>
      </c>
      <c r="F17" s="457">
        <f t="shared" si="0"/>
        <v>1200</v>
      </c>
    </row>
    <row r="18" spans="2:6" ht="18">
      <c r="B18" s="279" t="str">
        <f>'EARLY SEASON CROPS 1'!B12</f>
        <v>Cabbage</v>
      </c>
      <c r="C18" s="147"/>
      <c r="D18" s="380">
        <f>('EARLY SEASON CROPS 1'!C12*'EARLY SEASON CROPS 1'!D12*'EARLY SEASON CROPS 1'!G12)+('MID SEASON CROPS 2'!C12*'MID SEASON CROPS 2'!D12*'MID SEASON CROPS 2'!G12)+('LATE SEASON CROPS 3'!C12*'LATE SEASON CROPS 3'!D12*'LATE SEASON CROPS 3'!G12)</f>
        <v>0</v>
      </c>
      <c r="E18" s="527">
        <f>'Sales Price Sheet'!D13</f>
        <v>1</v>
      </c>
      <c r="F18" s="457">
        <f t="shared" si="0"/>
        <v>0</v>
      </c>
    </row>
    <row r="19" spans="2:6" ht="18">
      <c r="B19" s="279" t="str">
        <f>'EARLY SEASON CROPS 1'!B13</f>
        <v>Cabbage, Chinese**</v>
      </c>
      <c r="C19" s="147"/>
      <c r="D19" s="380">
        <f>('EARLY SEASON CROPS 1'!C13*'EARLY SEASON CROPS 1'!D13*'EARLY SEASON CROPS 1'!G13)+('MID SEASON CROPS 2'!C13*'MID SEASON CROPS 2'!D13*'MID SEASON CROPS 2'!G13)+('LATE SEASON CROPS 3'!C13*'LATE SEASON CROPS 3'!D13*'LATE SEASON CROPS 3'!G13)</f>
        <v>256</v>
      </c>
      <c r="E19" s="527">
        <f>'Sales Price Sheet'!D14</f>
        <v>2</v>
      </c>
      <c r="F19" s="457">
        <f t="shared" si="0"/>
        <v>512</v>
      </c>
    </row>
    <row r="20" spans="2:6" ht="18">
      <c r="B20" s="279" t="str">
        <f>'EARLY SEASON CROPS 1'!B14</f>
        <v>Carrots</v>
      </c>
      <c r="C20" s="147"/>
      <c r="D20" s="380">
        <f>('EARLY SEASON CROPS 1'!C14*'EARLY SEASON CROPS 1'!D14*'EARLY SEASON CROPS 1'!G14)+('MID SEASON CROPS 2'!C14*'MID SEASON CROPS 2'!D14*'MID SEASON CROPS 2'!G14)+('LATE SEASON CROPS 3'!C14*'LATE SEASON CROPS 3'!D14*'LATE SEASON CROPS 3'!G14)</f>
        <v>1600</v>
      </c>
      <c r="E20" s="527">
        <f>'Sales Price Sheet'!D15</f>
        <v>1</v>
      </c>
      <c r="F20" s="457">
        <f t="shared" si="0"/>
        <v>1600</v>
      </c>
    </row>
    <row r="21" spans="2:6" ht="18">
      <c r="B21" s="279" t="str">
        <f>'EARLY SEASON CROPS 1'!B15</f>
        <v>Cauliflower</v>
      </c>
      <c r="C21" s="147"/>
      <c r="D21" s="380">
        <f>('EARLY SEASON CROPS 1'!C15*'EARLY SEASON CROPS 1'!D15*'EARLY SEASON CROPS 1'!G15)+('MID SEASON CROPS 2'!C15*'MID SEASON CROPS 2'!D15*'MID SEASON CROPS 2'!G15)+('LATE SEASON CROPS 3'!C15*'LATE SEASON CROPS 3'!D15*'LATE SEASON CROPS 3'!G15)</f>
        <v>360</v>
      </c>
      <c r="E21" s="527">
        <f>'Sales Price Sheet'!D16</f>
        <v>2</v>
      </c>
      <c r="F21" s="457">
        <f t="shared" si="0"/>
        <v>720</v>
      </c>
    </row>
    <row r="22" spans="2:6" ht="18">
      <c r="B22" s="279" t="str">
        <f>'EARLY SEASON CROPS 1'!B16</f>
        <v>Kale</v>
      </c>
      <c r="C22" s="147"/>
      <c r="D22" s="380">
        <f>('EARLY SEASON CROPS 1'!C16*'EARLY SEASON CROPS 1'!D16*'EARLY SEASON CROPS 1'!G16)+('MID SEASON CROPS 2'!C16*'MID SEASON CROPS 2'!D16*'MID SEASON CROPS 2'!G16)+('LATE SEASON CROPS 3'!C16*'LATE SEASON CROPS 3'!D16*'LATE SEASON CROPS 3'!G16)</f>
        <v>1680</v>
      </c>
      <c r="E22" s="527">
        <f>'Sales Price Sheet'!D17</f>
        <v>1.5</v>
      </c>
      <c r="F22" s="457">
        <f t="shared" si="0"/>
        <v>2520</v>
      </c>
    </row>
    <row r="23" spans="2:6" ht="18">
      <c r="B23" s="279" t="str">
        <f>'EARLY SEASON CROPS 1'!B17</f>
        <v>Cucumbers, long seedless</v>
      </c>
      <c r="C23" s="147"/>
      <c r="D23" s="380">
        <f>('EARLY SEASON CROPS 1'!C17*'EARLY SEASON CROPS 1'!D17*'EARLY SEASON CROPS 1'!G17)+('MID SEASON CROPS 2'!C17*'MID SEASON CROPS 2'!D17*'MID SEASON CROPS 2'!G17)+('LATE SEASON CROPS 3'!C17*'LATE SEASON CROPS 3'!D17*'LATE SEASON CROPS 3'!G17)</f>
        <v>720</v>
      </c>
      <c r="E23" s="527">
        <f>'Sales Price Sheet'!D18</f>
        <v>2</v>
      </c>
      <c r="F23" s="457">
        <f t="shared" si="0"/>
        <v>1440</v>
      </c>
    </row>
    <row r="24" spans="2:6" ht="18">
      <c r="B24" s="279" t="str">
        <f>'EARLY SEASON CROPS 1'!B18</f>
        <v>Eggplant</v>
      </c>
      <c r="C24" s="147"/>
      <c r="D24" s="380">
        <f>('EARLY SEASON CROPS 1'!C18*'EARLY SEASON CROPS 1'!D18*'EARLY SEASON CROPS 1'!G18)+('MID SEASON CROPS 2'!C18*'MID SEASON CROPS 2'!D18*'MID SEASON CROPS 2'!G18)+('LATE SEASON CROPS 3'!C18*'LATE SEASON CROPS 3'!D18*'LATE SEASON CROPS 3'!G18)</f>
        <v>192</v>
      </c>
      <c r="E24" s="527">
        <f>'Sales Price Sheet'!D19</f>
        <v>1.5</v>
      </c>
      <c r="F24" s="457">
        <f t="shared" si="0"/>
        <v>288</v>
      </c>
    </row>
    <row r="25" spans="2:6" ht="18">
      <c r="B25" s="279" t="str">
        <f>'EARLY SEASON CROPS 1'!B19</f>
        <v>Kohlrabi</v>
      </c>
      <c r="C25" s="147"/>
      <c r="D25" s="380">
        <f>('EARLY SEASON CROPS 1'!C19*'EARLY SEASON CROPS 1'!D19*'EARLY SEASON CROPS 1'!G19)+('MID SEASON CROPS 2'!C19*'MID SEASON CROPS 2'!D19*'MID SEASON CROPS 2'!G19)+('LATE SEASON CROPS 3'!C19*'LATE SEASON CROPS 3'!D19*'LATE SEASON CROPS 3'!G19)</f>
        <v>0</v>
      </c>
      <c r="E25" s="527">
        <f>'Sales Price Sheet'!D20</f>
        <v>0</v>
      </c>
      <c r="F25" s="457">
        <f t="shared" si="0"/>
        <v>0</v>
      </c>
    </row>
    <row r="26" spans="2:6" ht="18">
      <c r="B26" s="279" t="str">
        <f>'EARLY SEASON CROPS 1'!B20</f>
        <v>Lettuce, head**</v>
      </c>
      <c r="C26" s="147"/>
      <c r="D26" s="380">
        <f>('EARLY SEASON CROPS 1'!C20*'EARLY SEASON CROPS 1'!D20*'EARLY SEASON CROPS 1'!G20)+('MID SEASON CROPS 2'!C20*'MID SEASON CROPS 2'!D20*'MID SEASON CROPS 2'!G20)+('LATE SEASON CROPS 3'!C20*'LATE SEASON CROPS 3'!D20*'LATE SEASON CROPS 3'!G20)</f>
        <v>1680</v>
      </c>
      <c r="E26" s="527">
        <f>'Sales Price Sheet'!D21</f>
        <v>1.5</v>
      </c>
      <c r="F26" s="457">
        <f t="shared" si="0"/>
        <v>2520</v>
      </c>
    </row>
    <row r="27" spans="2:6" ht="18">
      <c r="B27" s="279" t="str">
        <f>'EARLY SEASON CROPS 1'!B21</f>
        <v>Lettuce, leaf</v>
      </c>
      <c r="C27" s="147"/>
      <c r="D27" s="380">
        <f>('EARLY SEASON CROPS 1'!C21*'EARLY SEASON CROPS 1'!D21*'EARLY SEASON CROPS 1'!G21)+('MID SEASON CROPS 2'!C21*'MID SEASON CROPS 2'!D21*'MID SEASON CROPS 2'!G21)+('LATE SEASON CROPS 3'!C21*'LATE SEASON CROPS 3'!D21*'LATE SEASON CROPS 3'!G21)</f>
        <v>672</v>
      </c>
      <c r="E27" s="527">
        <f>'Sales Price Sheet'!D22</f>
        <v>3</v>
      </c>
      <c r="F27" s="457">
        <f t="shared" si="0"/>
        <v>2016</v>
      </c>
    </row>
    <row r="28" spans="2:6" ht="18">
      <c r="B28" s="279" t="str">
        <f>'EARLY SEASON CROPS 1'!B22</f>
        <v>Muskmelon, cantaloupe**</v>
      </c>
      <c r="C28" s="147"/>
      <c r="D28" s="380">
        <f>('EARLY SEASON CROPS 1'!C22*'EARLY SEASON CROPS 1'!D22*'EARLY SEASON CROPS 1'!G22)+('MID SEASON CROPS 2'!C22*'MID SEASON CROPS 2'!D22*'MID SEASON CROPS 2'!G22)+('LATE SEASON CROPS 3'!C22*'LATE SEASON CROPS 3'!D22*'LATE SEASON CROPS 3'!G22)</f>
        <v>192</v>
      </c>
      <c r="E28" s="527">
        <f>'Sales Price Sheet'!D23</f>
        <v>2.5</v>
      </c>
      <c r="F28" s="457">
        <f t="shared" si="0"/>
        <v>480</v>
      </c>
    </row>
    <row r="29" spans="2:6" ht="18">
      <c r="B29" s="279" t="str">
        <f>'EARLY SEASON CROPS 1'!B23</f>
        <v>Okra</v>
      </c>
      <c r="C29" s="147"/>
      <c r="D29" s="380">
        <f>('EARLY SEASON CROPS 1'!C23*'EARLY SEASON CROPS 1'!D23*'EARLY SEASON CROPS 1'!G23)+('MID SEASON CROPS 2'!C23*'MID SEASON CROPS 2'!D23*'MID SEASON CROPS 2'!G23)+('LATE SEASON CROPS 3'!C23*'LATE SEASON CROPS 3'!D23*'LATE SEASON CROPS 3'!G23)</f>
        <v>155</v>
      </c>
      <c r="E29" s="527">
        <f>'Sales Price Sheet'!D24</f>
        <v>2.5</v>
      </c>
      <c r="F29" s="457">
        <f t="shared" si="0"/>
        <v>387.5</v>
      </c>
    </row>
    <row r="30" spans="2:6" ht="18">
      <c r="B30" s="279" t="str">
        <f>'EARLY SEASON CROPS 1'!B24</f>
        <v>Onions (dry)</v>
      </c>
      <c r="C30" s="147"/>
      <c r="D30" s="380">
        <f>('EARLY SEASON CROPS 1'!C24*'EARLY SEASON CROPS 1'!D24*'EARLY SEASON CROPS 1'!G24)+('MID SEASON CROPS 2'!C24*'MID SEASON CROPS 2'!D24*'MID SEASON CROPS 2'!G24)+('LATE SEASON CROPS 3'!C24*'LATE SEASON CROPS 3'!D24*'LATE SEASON CROPS 3'!G24)</f>
        <v>1080</v>
      </c>
      <c r="E30" s="527">
        <f>'Sales Price Sheet'!D25</f>
        <v>1.29</v>
      </c>
      <c r="F30" s="457">
        <f t="shared" si="0"/>
        <v>1393.2</v>
      </c>
    </row>
    <row r="31" spans="2:6" ht="18">
      <c r="B31" s="279" t="str">
        <f>'EARLY SEASON CROPS 1'!B25</f>
        <v>Parsley</v>
      </c>
      <c r="C31" s="147"/>
      <c r="D31" s="380">
        <f>('EARLY SEASON CROPS 1'!C25*'EARLY SEASON CROPS 1'!D25*'EARLY SEASON CROPS 1'!G25)+('MID SEASON CROPS 2'!C25*'MID SEASON CROPS 2'!D25*'MID SEASON CROPS 2'!G25)+('LATE SEASON CROPS 3'!C25*'LATE SEASON CROPS 3'!D25*'LATE SEASON CROPS 3'!G25)</f>
        <v>180</v>
      </c>
      <c r="E31" s="527">
        <f>'Sales Price Sheet'!D26</f>
        <v>4</v>
      </c>
      <c r="F31" s="457">
        <f t="shared" si="0"/>
        <v>720</v>
      </c>
    </row>
    <row r="32" spans="2:6" ht="18">
      <c r="B32" s="279" t="str">
        <f>'EARLY SEASON CROPS 1'!B26</f>
        <v>Parsnips</v>
      </c>
      <c r="C32" s="147"/>
      <c r="D32" s="380">
        <f>('EARLY SEASON CROPS 1'!C26*'EARLY SEASON CROPS 1'!D26*'EARLY SEASON CROPS 1'!G26)+('MID SEASON CROPS 2'!C26*'MID SEASON CROPS 2'!D26*'MID SEASON CROPS 2'!G26)+('LATE SEASON CROPS 3'!C26*'LATE SEASON CROPS 3'!D26*'LATE SEASON CROPS 3'!G26)</f>
        <v>640</v>
      </c>
      <c r="E32" s="527">
        <f>'Sales Price Sheet'!D27</f>
        <v>1</v>
      </c>
      <c r="F32" s="457">
        <f t="shared" si="0"/>
        <v>640</v>
      </c>
    </row>
    <row r="33" spans="2:10" ht="18">
      <c r="B33" s="279" t="str">
        <f>'EARLY SEASON CROPS 1'!B27</f>
        <v>Peas, English</v>
      </c>
      <c r="C33" s="147"/>
      <c r="D33" s="380">
        <f>('EARLY SEASON CROPS 1'!C27*'EARLY SEASON CROPS 1'!D27*'EARLY SEASON CROPS 1'!G27)+('MID SEASON CROPS 2'!C27*'MID SEASON CROPS 2'!D27*'MID SEASON CROPS 2'!G27)+('LATE SEASON CROPS 3'!C27*'LATE SEASON CROPS 3'!D27*'LATE SEASON CROPS 3'!G27)</f>
        <v>160</v>
      </c>
      <c r="E33" s="527">
        <f>'Sales Price Sheet'!D28</f>
        <v>2</v>
      </c>
      <c r="F33" s="457">
        <f t="shared" si="0"/>
        <v>320</v>
      </c>
    </row>
    <row r="34" spans="2:10" ht="18">
      <c r="B34" s="279" t="str">
        <f>'EARLY SEASON CROPS 1'!B28</f>
        <v>Peas, Southern</v>
      </c>
      <c r="C34" s="147"/>
      <c r="D34" s="380">
        <f>('EARLY SEASON CROPS 1'!C28*'EARLY SEASON CROPS 1'!D28*'EARLY SEASON CROPS 1'!G28)+('MID SEASON CROPS 2'!C28*'MID SEASON CROPS 2'!D28*'MID SEASON CROPS 2'!G28)+('LATE SEASON CROPS 3'!C28*'LATE SEASON CROPS 3'!D28*'LATE SEASON CROPS 3'!G28)</f>
        <v>0</v>
      </c>
      <c r="E34" s="527">
        <f>'Sales Price Sheet'!D29</f>
        <v>2</v>
      </c>
      <c r="F34" s="457">
        <f t="shared" si="0"/>
        <v>0</v>
      </c>
    </row>
    <row r="35" spans="2:10" ht="18">
      <c r="B35" s="279" t="str">
        <f>'EARLY SEASON CROPS 1'!B29</f>
        <v>Peppers, Sweet</v>
      </c>
      <c r="C35" s="147"/>
      <c r="D35" s="380">
        <f>('EARLY SEASON CROPS 1'!C29*'EARLY SEASON CROPS 1'!D29*'EARLY SEASON CROPS 1'!G29)+('MID SEASON CROPS 2'!C29*'MID SEASON CROPS 2'!D29*'MID SEASON CROPS 2'!G29)+('LATE SEASON CROPS 3'!C29*'LATE SEASON CROPS 3'!D29*'LATE SEASON CROPS 3'!G29)</f>
        <v>800</v>
      </c>
      <c r="E35" s="527">
        <f>'Sales Price Sheet'!D30</f>
        <v>2.5</v>
      </c>
      <c r="F35" s="457">
        <f t="shared" si="0"/>
        <v>2000</v>
      </c>
    </row>
    <row r="36" spans="2:10" ht="18">
      <c r="B36" s="279" t="str">
        <f>'EARLY SEASON CROPS 1'!B30</f>
        <v>Peppers, Green</v>
      </c>
      <c r="C36" s="147"/>
      <c r="D36" s="380">
        <f>('EARLY SEASON CROPS 1'!C30*'EARLY SEASON CROPS 1'!D30*'EARLY SEASON CROPS 1'!G30)+('MID SEASON CROPS 2'!C30*'MID SEASON CROPS 2'!D30*'MID SEASON CROPS 2'!G30)+('LATE SEASON CROPS 3'!C30*'LATE SEASON CROPS 3'!D30*'LATE SEASON CROPS 3'!G30)</f>
        <v>0</v>
      </c>
      <c r="E36" s="527">
        <f>'Sales Price Sheet'!D31</f>
        <v>1.5</v>
      </c>
      <c r="F36" s="457">
        <f t="shared" si="0"/>
        <v>0</v>
      </c>
    </row>
    <row r="37" spans="2:10" ht="18">
      <c r="B37" s="279" t="str">
        <f>'EARLY SEASON CROPS 1'!B31</f>
        <v>Potatoes, Irish</v>
      </c>
      <c r="C37" s="147"/>
      <c r="D37" s="380">
        <f>('EARLY SEASON CROPS 1'!C31*'EARLY SEASON CROPS 1'!D31*'EARLY SEASON CROPS 1'!G31)+('MID SEASON CROPS 2'!C31*'MID SEASON CROPS 2'!D31*'MID SEASON CROPS 2'!G31)+('LATE SEASON CROPS 3'!C31*'LATE SEASON CROPS 3'!D31*'LATE SEASON CROPS 3'!G31)</f>
        <v>0</v>
      </c>
      <c r="E37" s="527">
        <f>'Sales Price Sheet'!D32</f>
        <v>1</v>
      </c>
      <c r="F37" s="457">
        <f t="shared" si="0"/>
        <v>0</v>
      </c>
      <c r="J37" s="114"/>
    </row>
    <row r="38" spans="2:10" ht="18">
      <c r="B38" s="279" t="str">
        <f>'EARLY SEASON CROPS 1'!B32</f>
        <v>Potatoes, Sweet</v>
      </c>
      <c r="C38" s="147"/>
      <c r="D38" s="380">
        <f>('EARLY SEASON CROPS 1'!C32*'EARLY SEASON CROPS 1'!D32*'EARLY SEASON CROPS 1'!G32)+('MID SEASON CROPS 2'!C32*'MID SEASON CROPS 2'!D32*'MID SEASON CROPS 2'!G32)+('LATE SEASON CROPS 3'!C32*'LATE SEASON CROPS 3'!D32*'LATE SEASON CROPS 3'!G32)</f>
        <v>0</v>
      </c>
      <c r="E38" s="527">
        <f>'Sales Price Sheet'!D33</f>
        <v>1</v>
      </c>
      <c r="F38" s="457">
        <f t="shared" si="0"/>
        <v>0</v>
      </c>
    </row>
    <row r="39" spans="2:10" ht="18">
      <c r="B39" s="279" t="str">
        <f>'EARLY SEASON CROPS 1'!B33</f>
        <v>Pumpkins</v>
      </c>
      <c r="C39" s="147"/>
      <c r="D39" s="380">
        <f>('EARLY SEASON CROPS 1'!C33*'EARLY SEASON CROPS 1'!D33*'EARLY SEASON CROPS 1'!G33)+('MID SEASON CROPS 2'!C33*'MID SEASON CROPS 2'!D33*'MID SEASON CROPS 2'!G33)+('LATE SEASON CROPS 3'!C33*'LATE SEASON CROPS 3'!D33*'LATE SEASON CROPS 3'!G33)</f>
        <v>0</v>
      </c>
      <c r="E39" s="527">
        <f>'Sales Price Sheet'!D34</f>
        <v>1.25</v>
      </c>
      <c r="F39" s="457">
        <f t="shared" si="0"/>
        <v>0</v>
      </c>
    </row>
    <row r="40" spans="2:10" ht="18">
      <c r="B40" s="279" t="str">
        <f>'EARLY SEASON CROPS 1'!B34</f>
        <v>Radishes**</v>
      </c>
      <c r="C40" s="147"/>
      <c r="D40" s="380">
        <f>('EARLY SEASON CROPS 1'!C34*'EARLY SEASON CROPS 1'!D34*'EARLY SEASON CROPS 1'!G34)+('MID SEASON CROPS 2'!C34*'MID SEASON CROPS 2'!D34*'MID SEASON CROPS 2'!G34)+('LATE SEASON CROPS 3'!C34*'LATE SEASON CROPS 3'!D34*'LATE SEASON CROPS 3'!G34)</f>
        <v>0</v>
      </c>
      <c r="E40" s="527">
        <f>'Sales Price Sheet'!D35</f>
        <v>1.2</v>
      </c>
      <c r="F40" s="457">
        <f t="shared" si="0"/>
        <v>0</v>
      </c>
    </row>
    <row r="41" spans="2:10" ht="18">
      <c r="B41" s="279" t="str">
        <f>'EARLY SEASON CROPS 1'!B35</f>
        <v>Spinach</v>
      </c>
      <c r="C41" s="147"/>
      <c r="D41" s="380">
        <f>('EARLY SEASON CROPS 1'!C35*'EARLY SEASON CROPS 1'!D35*'EARLY SEASON CROPS 1'!G35)+('MID SEASON CROPS 2'!C35*'MID SEASON CROPS 2'!D35*'MID SEASON CROPS 2'!G35)+('LATE SEASON CROPS 3'!C35*'LATE SEASON CROPS 3'!D35*'LATE SEASON CROPS 3'!G35)</f>
        <v>360</v>
      </c>
      <c r="E41" s="527">
        <f>'Sales Price Sheet'!D36</f>
        <v>2</v>
      </c>
      <c r="F41" s="457">
        <f t="shared" si="0"/>
        <v>720</v>
      </c>
    </row>
    <row r="42" spans="2:10" ht="18">
      <c r="B42" s="279" t="str">
        <f>'EARLY SEASON CROPS 1'!B36</f>
        <v>Squash, summer</v>
      </c>
      <c r="C42" s="147"/>
      <c r="D42" s="380">
        <f>('EARLY SEASON CROPS 1'!C36*'EARLY SEASON CROPS 1'!D36*'EARLY SEASON CROPS 1'!G36)+('MID SEASON CROPS 2'!C36*'MID SEASON CROPS 2'!D36*'MID SEASON CROPS 2'!G36)+('LATE SEASON CROPS 3'!C36*'LATE SEASON CROPS 3'!D36*'LATE SEASON CROPS 3'!G36)</f>
        <v>480</v>
      </c>
      <c r="E42" s="527">
        <f>'Sales Price Sheet'!D37</f>
        <v>1.5</v>
      </c>
      <c r="F42" s="457">
        <f t="shared" si="0"/>
        <v>720</v>
      </c>
    </row>
    <row r="43" spans="2:10" ht="18">
      <c r="B43" s="279" t="str">
        <f>'EARLY SEASON CROPS 1'!B37</f>
        <v>Squash, winter</v>
      </c>
      <c r="C43" s="147"/>
      <c r="D43" s="380">
        <f>('EARLY SEASON CROPS 1'!C37*'EARLY SEASON CROPS 1'!D37*'EARLY SEASON CROPS 1'!G37)+('MID SEASON CROPS 2'!C37*'MID SEASON CROPS 2'!D37*'MID SEASON CROPS 2'!G37)+('LATE SEASON CROPS 3'!C37*'LATE SEASON CROPS 3'!D37*'LATE SEASON CROPS 3'!G37)</f>
        <v>540</v>
      </c>
      <c r="E43" s="527">
        <f>'Sales Price Sheet'!D38</f>
        <v>1</v>
      </c>
      <c r="F43" s="457">
        <f t="shared" si="0"/>
        <v>540</v>
      </c>
    </row>
    <row r="44" spans="2:10" ht="18">
      <c r="B44" s="279" t="str">
        <f>'EARLY SEASON CROPS 1'!B38</f>
        <v>Tomatoes</v>
      </c>
      <c r="C44" s="147"/>
      <c r="D44" s="380">
        <f>('EARLY SEASON CROPS 1'!C38*'EARLY SEASON CROPS 1'!D38*'EARLY SEASON CROPS 1'!G38)+('MID SEASON CROPS 2'!C38*'MID SEASON CROPS 2'!D38*'MID SEASON CROPS 2'!G38)+('LATE SEASON CROPS 3'!C38*'LATE SEASON CROPS 3'!D38*'LATE SEASON CROPS 3'!G38)</f>
        <v>1500</v>
      </c>
      <c r="E44" s="527">
        <f>'Sales Price Sheet'!D39</f>
        <v>2.5</v>
      </c>
      <c r="F44" s="457">
        <f t="shared" si="0"/>
        <v>3750</v>
      </c>
    </row>
    <row r="45" spans="2:10" ht="18">
      <c r="B45" s="279" t="str">
        <f>'EARLY SEASON CROPS 1'!B39</f>
        <v>Turnip, greens</v>
      </c>
      <c r="C45" s="147"/>
      <c r="D45" s="380">
        <f>('EARLY SEASON CROPS 1'!C39*'EARLY SEASON CROPS 1'!D39*'EARLY SEASON CROPS 1'!G39)+('MID SEASON CROPS 2'!C39*'MID SEASON CROPS 2'!D39*'MID SEASON CROPS 2'!G39)+('LATE SEASON CROPS 3'!C39*'LATE SEASON CROPS 3'!D39*'LATE SEASON CROPS 3'!G39)</f>
        <v>450</v>
      </c>
      <c r="E45" s="527">
        <f>'Sales Price Sheet'!D40</f>
        <v>1</v>
      </c>
      <c r="F45" s="457">
        <f t="shared" si="0"/>
        <v>450</v>
      </c>
    </row>
    <row r="46" spans="2:10" ht="18">
      <c r="B46" s="279" t="str">
        <f>'EARLY SEASON CROPS 1'!B40</f>
        <v>Turnip, roots</v>
      </c>
      <c r="C46" s="147"/>
      <c r="D46" s="380">
        <f>('EARLY SEASON CROPS 1'!C40*'EARLY SEASON CROPS 1'!D40*'EARLY SEASON CROPS 1'!G40)+('MID SEASON CROPS 2'!C40*'MID SEASON CROPS 2'!D40*'MID SEASON CROPS 2'!G40)+('LATE SEASON CROPS 3'!C40*'LATE SEASON CROPS 3'!D40*'LATE SEASON CROPS 3'!G40)</f>
        <v>0</v>
      </c>
      <c r="E46" s="527">
        <f>'Sales Price Sheet'!D41</f>
        <v>1</v>
      </c>
      <c r="F46" s="457">
        <f t="shared" si="0"/>
        <v>0</v>
      </c>
    </row>
    <row r="47" spans="2:10" ht="18.75" thickBot="1">
      <c r="B47" s="381" t="str">
        <f>'EARLY SEASON CROPS 1'!B41</f>
        <v>Watermelon**</v>
      </c>
      <c r="C47" s="603"/>
      <c r="D47" s="382">
        <f>('EARLY SEASON CROPS 1'!C41*'EARLY SEASON CROPS 1'!D41*'EARLY SEASON CROPS 1'!G41)+('MID SEASON CROPS 2'!C41*'MID SEASON CROPS 2'!D41*'MID SEASON CROPS 2'!G41)+('LATE SEASON CROPS 3'!C41*'LATE SEASON CROPS 3'!D41*'LATE SEASON CROPS 3'!G41)</f>
        <v>100</v>
      </c>
      <c r="E47" s="528">
        <f>'Sales Price Sheet'!D42</f>
        <v>5</v>
      </c>
      <c r="F47" s="529">
        <f t="shared" si="0"/>
        <v>500</v>
      </c>
    </row>
    <row r="48" spans="2:10" ht="24" customHeight="1">
      <c r="B48" s="115" t="s">
        <v>302</v>
      </c>
      <c r="C48" s="115"/>
      <c r="D48" s="115"/>
      <c r="E48" s="208"/>
      <c r="F48" s="362">
        <f>SUM(F13:F47)</f>
        <v>26716.7</v>
      </c>
    </row>
    <row r="49" spans="2:11" ht="34.5" customHeight="1">
      <c r="B49" s="605" t="s">
        <v>585</v>
      </c>
      <c r="C49" s="605"/>
      <c r="D49" s="605"/>
      <c r="E49" s="605"/>
      <c r="F49" s="605"/>
    </row>
    <row r="50" spans="2:11" ht="18" customHeight="1">
      <c r="B50" s="209"/>
      <c r="E50" s="116"/>
      <c r="F50" s="117"/>
    </row>
    <row r="51" spans="2:11" ht="21" thickBot="1">
      <c r="B51" s="111" t="s">
        <v>273</v>
      </c>
      <c r="C51" s="340" t="s">
        <v>162</v>
      </c>
      <c r="D51" s="341" t="s">
        <v>244</v>
      </c>
      <c r="E51" s="341" t="s">
        <v>164</v>
      </c>
      <c r="F51" s="342" t="s">
        <v>163</v>
      </c>
    </row>
    <row r="52" spans="2:11" ht="18">
      <c r="B52" s="112" t="s">
        <v>451</v>
      </c>
      <c r="C52" s="523" t="s">
        <v>452</v>
      </c>
      <c r="D52" s="531">
        <v>0.33</v>
      </c>
      <c r="E52" s="532">
        <v>60</v>
      </c>
      <c r="F52" s="524">
        <f t="shared" ref="F52:F55" si="1">D52*E52</f>
        <v>19.8</v>
      </c>
    </row>
    <row r="53" spans="2:11" ht="18">
      <c r="B53" s="112" t="s">
        <v>434</v>
      </c>
      <c r="C53" s="343" t="s">
        <v>165</v>
      </c>
      <c r="D53" s="533">
        <v>2</v>
      </c>
      <c r="E53" s="534">
        <v>60</v>
      </c>
      <c r="F53" s="524">
        <f t="shared" si="1"/>
        <v>120</v>
      </c>
    </row>
    <row r="54" spans="2:11" ht="18">
      <c r="B54" s="119" t="s">
        <v>586</v>
      </c>
      <c r="C54" s="343" t="s">
        <v>165</v>
      </c>
      <c r="D54" s="533">
        <v>6</v>
      </c>
      <c r="E54" s="534">
        <v>30</v>
      </c>
      <c r="F54" s="524">
        <f t="shared" si="1"/>
        <v>180</v>
      </c>
      <c r="J54" s="114"/>
      <c r="K54" s="114"/>
    </row>
    <row r="55" spans="2:11" ht="18">
      <c r="B55" s="119" t="s">
        <v>456</v>
      </c>
      <c r="C55" s="343" t="s">
        <v>165</v>
      </c>
      <c r="D55" s="533">
        <v>5</v>
      </c>
      <c r="E55" s="534">
        <v>30</v>
      </c>
      <c r="F55" s="524">
        <f t="shared" si="1"/>
        <v>150</v>
      </c>
      <c r="J55" s="114"/>
      <c r="K55" s="114"/>
    </row>
    <row r="56" spans="2:11" ht="18">
      <c r="B56" s="110" t="s">
        <v>421</v>
      </c>
      <c r="C56" s="343" t="s">
        <v>423</v>
      </c>
      <c r="D56" s="533">
        <v>5</v>
      </c>
      <c r="E56" s="534">
        <v>20</v>
      </c>
      <c r="F56" s="524">
        <f>D56*E56</f>
        <v>100</v>
      </c>
    </row>
    <row r="57" spans="2:11" ht="18">
      <c r="B57" s="112" t="s">
        <v>447</v>
      </c>
      <c r="C57" s="343" t="s">
        <v>448</v>
      </c>
      <c r="D57" s="533">
        <v>6</v>
      </c>
      <c r="E57" s="534">
        <v>50</v>
      </c>
      <c r="F57" s="524">
        <f>D57*E57</f>
        <v>300</v>
      </c>
    </row>
    <row r="58" spans="2:11" ht="18" customHeight="1" thickBot="1">
      <c r="B58" s="112" t="s">
        <v>573</v>
      </c>
      <c r="C58" s="530" t="s">
        <v>572</v>
      </c>
      <c r="D58" s="535">
        <v>30</v>
      </c>
      <c r="E58" s="536">
        <v>15</v>
      </c>
      <c r="F58" s="524">
        <f>D58*E58</f>
        <v>450</v>
      </c>
    </row>
    <row r="59" spans="2:11" ht="18" customHeight="1">
      <c r="F59" s="113"/>
    </row>
    <row r="60" spans="2:11" ht="18">
      <c r="B60" s="110" t="s">
        <v>422</v>
      </c>
      <c r="C60" s="118" t="s">
        <v>432</v>
      </c>
      <c r="D60" s="112">
        <f>F8</f>
        <v>500</v>
      </c>
      <c r="E60" s="113">
        <f>C8/F8</f>
        <v>10</v>
      </c>
      <c r="F60" s="113">
        <f>D60*E60</f>
        <v>5000</v>
      </c>
      <c r="I60" s="114"/>
    </row>
    <row r="61" spans="2:11" ht="18">
      <c r="B61" s="112" t="s">
        <v>587</v>
      </c>
      <c r="C61" s="118" t="s">
        <v>417</v>
      </c>
      <c r="D61" s="112">
        <f>F7*100</f>
        <v>6000</v>
      </c>
      <c r="E61" s="113">
        <f>C7/D61</f>
        <v>0.13333333333333333</v>
      </c>
      <c r="F61" s="113">
        <f>D61*E61</f>
        <v>800</v>
      </c>
      <c r="I61" s="114"/>
    </row>
    <row r="62" spans="2:11" ht="18.75" thickBot="1">
      <c r="B62" s="112" t="s">
        <v>574</v>
      </c>
      <c r="C62" s="118" t="s">
        <v>443</v>
      </c>
      <c r="D62" s="112">
        <f>(C9*F9)+(C10*F10)</f>
        <v>420</v>
      </c>
      <c r="E62" s="123">
        <f>Labor!D5</f>
        <v>9</v>
      </c>
      <c r="F62" s="113">
        <f>D62*E62</f>
        <v>3780</v>
      </c>
    </row>
    <row r="63" spans="2:11" ht="18.75" thickBot="1">
      <c r="B63" s="112" t="s">
        <v>439</v>
      </c>
      <c r="C63" s="118" t="s">
        <v>438</v>
      </c>
      <c r="D63" s="537">
        <v>15</v>
      </c>
      <c r="E63" s="120">
        <v>2</v>
      </c>
      <c r="F63" s="113">
        <f>(C6/D63)*E63</f>
        <v>2666.6666666666665</v>
      </c>
    </row>
    <row r="64" spans="2:11" ht="18">
      <c r="B64" s="112" t="s">
        <v>588</v>
      </c>
      <c r="C64" s="118" t="s">
        <v>437</v>
      </c>
      <c r="D64" s="112">
        <v>1</v>
      </c>
      <c r="E64" s="113">
        <f>F6</f>
        <v>500</v>
      </c>
      <c r="F64" s="113">
        <f>D64*E64</f>
        <v>500</v>
      </c>
    </row>
    <row r="65" spans="1:6" ht="18" customHeight="1"/>
    <row r="66" spans="1:6" ht="18" customHeight="1">
      <c r="B66" s="121" t="s">
        <v>248</v>
      </c>
      <c r="C66" s="122" t="s">
        <v>417</v>
      </c>
      <c r="D66" s="326">
        <f>'Irrigation Budget Sheet'!E41</f>
        <v>8712</v>
      </c>
      <c r="E66" s="123">
        <f>'Irrigation Budget Sheet'!D41</f>
        <v>0.04</v>
      </c>
      <c r="F66" s="123">
        <f>D66*E66</f>
        <v>348.48</v>
      </c>
    </row>
    <row r="67" spans="1:6" ht="18">
      <c r="B67" s="121" t="s">
        <v>539</v>
      </c>
      <c r="C67" s="122" t="s">
        <v>508</v>
      </c>
      <c r="D67" s="121">
        <v>1</v>
      </c>
      <c r="E67" s="123">
        <f>'Pest Control'!F42</f>
        <v>258.0390037593985</v>
      </c>
      <c r="F67" s="123">
        <f>D67*E67</f>
        <v>258.0390037593985</v>
      </c>
    </row>
    <row r="68" spans="1:6" ht="18">
      <c r="B68" s="121" t="s">
        <v>540</v>
      </c>
      <c r="C68" s="122" t="s">
        <v>508</v>
      </c>
      <c r="D68" s="121">
        <v>1</v>
      </c>
      <c r="E68" s="123">
        <f>'Pest Control'!M42</f>
        <v>0</v>
      </c>
      <c r="F68" s="123">
        <f>D68*E68</f>
        <v>0</v>
      </c>
    </row>
    <row r="69" spans="1:6" ht="18">
      <c r="B69" s="121" t="s">
        <v>414</v>
      </c>
      <c r="C69" s="122" t="s">
        <v>449</v>
      </c>
      <c r="D69" s="121">
        <v>1</v>
      </c>
      <c r="E69" s="123">
        <f>'Transplant Seed Cost Sheet'!L18</f>
        <v>211.30800653594773</v>
      </c>
      <c r="F69" s="123">
        <f>'Transplant Seed Cost Sheet'!$L$18</f>
        <v>211.30800653594773</v>
      </c>
    </row>
    <row r="70" spans="1:6" ht="18">
      <c r="B70" s="121" t="s">
        <v>415</v>
      </c>
      <c r="C70" s="122" t="s">
        <v>450</v>
      </c>
      <c r="D70" s="121">
        <v>1</v>
      </c>
      <c r="E70" s="123">
        <f>'Direct Seeded Cost Sheet'!M31</f>
        <v>834.06147732378065</v>
      </c>
      <c r="F70" s="123">
        <f>'Direct Seeded Cost Sheet'!$M$31</f>
        <v>834.06147732378065</v>
      </c>
    </row>
    <row r="71" spans="1:6" ht="18">
      <c r="B71" s="121" t="s">
        <v>576</v>
      </c>
      <c r="C71" s="122" t="s">
        <v>299</v>
      </c>
      <c r="D71" s="124">
        <f>Labor!N15</f>
        <v>1724</v>
      </c>
      <c r="E71" s="123">
        <f>Labor!C20</f>
        <v>9</v>
      </c>
      <c r="F71" s="123">
        <f>Labor!D22</f>
        <v>7758</v>
      </c>
    </row>
    <row r="72" spans="1:6" ht="18">
      <c r="B72" s="121" t="s">
        <v>545</v>
      </c>
      <c r="C72" s="122" t="s">
        <v>532</v>
      </c>
      <c r="D72" s="121">
        <v>1</v>
      </c>
      <c r="E72" s="123">
        <f>'Irrigation Budget Sheet'!D52</f>
        <v>0</v>
      </c>
      <c r="F72" s="123">
        <f>D72*E72</f>
        <v>0</v>
      </c>
    </row>
    <row r="73" spans="1:6" ht="18.75" thickBot="1">
      <c r="B73" s="197"/>
      <c r="C73" s="198"/>
      <c r="D73" s="197"/>
      <c r="E73" s="199"/>
      <c r="F73" s="199"/>
    </row>
    <row r="74" spans="1:6" ht="24" customHeight="1">
      <c r="B74" s="115" t="s">
        <v>166</v>
      </c>
      <c r="C74" s="115"/>
      <c r="D74" s="133"/>
      <c r="E74" s="133"/>
      <c r="F74" s="133">
        <f>SUM(F52:F73)</f>
        <v>23476.355154285793</v>
      </c>
    </row>
    <row r="75" spans="1:6" ht="24" customHeight="1">
      <c r="B75" s="125"/>
      <c r="D75" s="114"/>
      <c r="E75" s="114"/>
      <c r="F75" s="114"/>
    </row>
    <row r="76" spans="1:6" ht="21" thickBot="1">
      <c r="B76" s="111" t="s">
        <v>411</v>
      </c>
      <c r="C76" s="205" t="s">
        <v>162</v>
      </c>
      <c r="D76" s="206" t="s">
        <v>164</v>
      </c>
      <c r="E76" s="206" t="s">
        <v>412</v>
      </c>
      <c r="F76" s="204" t="s">
        <v>163</v>
      </c>
    </row>
    <row r="77" spans="1:6" ht="18">
      <c r="B77" s="121" t="s">
        <v>410</v>
      </c>
      <c r="C77" s="126" t="s">
        <v>413</v>
      </c>
      <c r="D77" s="127">
        <f>'Market Garden Startup Cost'!E26</f>
        <v>2108.0298666666667</v>
      </c>
      <c r="E77" s="128">
        <v>1</v>
      </c>
      <c r="F77" s="129">
        <f>'Market Garden Startup Cost'!E26</f>
        <v>2108.0298666666667</v>
      </c>
    </row>
    <row r="78" spans="1:6" ht="18">
      <c r="A78" s="130"/>
      <c r="B78" s="121" t="s">
        <v>531</v>
      </c>
      <c r="C78" s="238" t="s">
        <v>532</v>
      </c>
      <c r="D78" s="239">
        <f>'Irrigation Budget Sheet'!D51</f>
        <v>101.36320000000001</v>
      </c>
      <c r="E78" s="240">
        <v>1</v>
      </c>
      <c r="F78" s="239">
        <f>D78*E78</f>
        <v>101.36320000000001</v>
      </c>
    </row>
    <row r="79" spans="1:6" ht="18.75" thickBot="1">
      <c r="A79" s="130"/>
      <c r="B79" s="121"/>
      <c r="C79" s="238"/>
      <c r="D79" s="239"/>
      <c r="E79" s="240"/>
      <c r="F79" s="239"/>
    </row>
    <row r="80" spans="1:6" ht="18.75" thickBot="1">
      <c r="A80" s="130"/>
      <c r="B80" s="131" t="s">
        <v>278</v>
      </c>
      <c r="C80" s="525" t="s">
        <v>327</v>
      </c>
      <c r="D80" s="539">
        <v>150</v>
      </c>
      <c r="E80" s="538">
        <v>1</v>
      </c>
      <c r="F80" s="526">
        <f>D80*E80</f>
        <v>150</v>
      </c>
    </row>
    <row r="81" spans="1:7" ht="18.75" thickBot="1">
      <c r="A81" s="130"/>
      <c r="B81" s="201"/>
      <c r="C81" s="202"/>
      <c r="D81" s="202"/>
      <c r="E81" s="132"/>
      <c r="F81" s="203"/>
    </row>
    <row r="82" spans="1:7" ht="20.25">
      <c r="B82" s="115" t="s">
        <v>167</v>
      </c>
      <c r="C82" s="207"/>
      <c r="D82" s="115"/>
      <c r="E82" s="115"/>
      <c r="F82" s="133">
        <f>SUM(F77:F81)</f>
        <v>2359.3930666666665</v>
      </c>
    </row>
    <row r="83" spans="1:7" ht="18">
      <c r="B83" s="112"/>
      <c r="C83" s="200"/>
      <c r="D83" s="112"/>
      <c r="E83" s="112"/>
      <c r="F83" s="113"/>
      <c r="G83" s="125"/>
    </row>
    <row r="84" spans="1:7" ht="20.25">
      <c r="B84" s="327" t="s">
        <v>168</v>
      </c>
      <c r="C84" s="328"/>
      <c r="D84" s="329"/>
      <c r="E84" s="329"/>
      <c r="F84" s="330">
        <f>F74+F82</f>
        <v>25835.748220952461</v>
      </c>
    </row>
    <row r="85" spans="1:7" ht="24" customHeight="1">
      <c r="B85" s="134"/>
      <c r="C85" s="135"/>
      <c r="D85" s="136"/>
      <c r="E85" s="136"/>
      <c r="F85" s="137"/>
    </row>
    <row r="86" spans="1:7" ht="24" customHeight="1">
      <c r="B86" s="134" t="s">
        <v>169</v>
      </c>
      <c r="C86" s="134"/>
      <c r="D86" s="134"/>
      <c r="E86" s="134"/>
      <c r="F86" s="137">
        <f>+F48-F74</f>
        <v>3240.3448457142076</v>
      </c>
    </row>
    <row r="87" spans="1:7" ht="24" customHeight="1">
      <c r="B87" s="134" t="s">
        <v>416</v>
      </c>
      <c r="C87" s="134"/>
      <c r="D87" s="134"/>
      <c r="E87" s="134"/>
      <c r="F87" s="137">
        <f>SUM(+F48,-F84)</f>
        <v>880.95177904754019</v>
      </c>
    </row>
    <row r="88" spans="1:7" ht="24" customHeight="1">
      <c r="B88" s="601" t="s">
        <v>607</v>
      </c>
    </row>
    <row r="89" spans="1:7" ht="24" customHeight="1">
      <c r="B89" s="100" t="s">
        <v>608</v>
      </c>
      <c r="C89" s="233"/>
      <c r="D89" s="233"/>
      <c r="E89" s="233"/>
      <c r="F89" s="233"/>
    </row>
    <row r="90" spans="1:7" ht="24" customHeight="1">
      <c r="B90" s="234" t="s">
        <v>609</v>
      </c>
      <c r="C90" s="233"/>
      <c r="D90" s="233"/>
      <c r="E90" s="233"/>
      <c r="F90" s="233"/>
    </row>
    <row r="91" spans="1:7" ht="24" customHeight="1">
      <c r="B91" s="209" t="s">
        <v>525</v>
      </c>
      <c r="C91" s="146" t="s">
        <v>431</v>
      </c>
      <c r="D91" s="233"/>
      <c r="E91" s="233"/>
      <c r="F91" s="233"/>
    </row>
    <row r="92" spans="1:7" ht="24" customHeight="1">
      <c r="B92" s="234" t="s">
        <v>536</v>
      </c>
      <c r="C92" s="233"/>
      <c r="D92" s="233"/>
      <c r="E92" s="233"/>
      <c r="F92" s="233"/>
    </row>
    <row r="93" spans="1:7" ht="33" customHeight="1">
      <c r="B93" s="233"/>
      <c r="C93" s="233"/>
      <c r="D93" s="233"/>
      <c r="E93" s="233"/>
      <c r="F93" s="233"/>
    </row>
    <row r="94" spans="1:7" ht="33" customHeight="1">
      <c r="B94" s="233"/>
      <c r="C94" s="233"/>
      <c r="D94" s="233"/>
      <c r="E94" s="233"/>
      <c r="F94" s="233"/>
    </row>
    <row r="95" spans="1:7" ht="33" customHeight="1"/>
    <row r="97" spans="2:6">
      <c r="B97" s="125"/>
      <c r="E97" s="114"/>
      <c r="F97" s="114"/>
    </row>
    <row r="98" spans="2:6">
      <c r="B98" s="125"/>
      <c r="E98" s="116"/>
    </row>
    <row r="99" spans="2:6">
      <c r="B99" s="125"/>
      <c r="E99" s="114"/>
      <c r="F99" s="114"/>
    </row>
    <row r="100" spans="2:6">
      <c r="B100" s="125"/>
    </row>
    <row r="103" spans="2:6">
      <c r="E103" s="114"/>
      <c r="F103" s="114"/>
    </row>
  </sheetData>
  <mergeCells count="2">
    <mergeCell ref="B2:F2"/>
    <mergeCell ref="B49:F49"/>
  </mergeCells>
  <hyperlinks>
    <hyperlink ref="B77:F77" location="'Market Garden Startup Cost'!A1" display="Equipment and Tools Cost"/>
    <hyperlink ref="C91" r:id="rId1"/>
    <hyperlink ref="B71:F71" location="Labor!A1" display="Labor"/>
    <hyperlink ref="B67:F67" location="'Pest Control'!A1" display="Pest Control"/>
    <hyperlink ref="E62" location="Labor!A1" display="Labor!A1"/>
    <hyperlink ref="B69:F69" location="'Transplant Seed Cost Sheet'!A1" display="*Transplant Seed Cost"/>
    <hyperlink ref="B70:F70" location="'Direct Seeded Cost Sheet'!A1" display="*Direct Seed Cost"/>
    <hyperlink ref="B78:F78" location="'Irrigation Budget Sheet'!A1" display="Irrigation"/>
    <hyperlink ref="B66:F66" location="'Irrigation Budget Sheet'!A1" display="Drip Tape Cost"/>
    <hyperlink ref="B68:F68" location="'Pest Control'!A1" display="Organic Pest Control"/>
    <hyperlink ref="D12:D47" location="'EARLY SEASON CROPS 1'!A1" display="Total Season Yield"/>
    <hyperlink ref="E12:E47" location="'Sales Price Sheet'!A1" display="Average Market Price per lbs."/>
  </hyperlinks>
  <pageMargins left="0.7" right="0.7" top="0.75" bottom="0.75" header="0.3" footer="0.3"/>
  <pageSetup scale="50" orientation="portrait" horizontalDpi="300" verticalDpi="300" r:id="rId2"/>
  <rowBreaks count="1" manualBreakCount="1">
    <brk id="50" min="1" max="5" man="1"/>
  </rowBreaks>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9"/>
  <sheetViews>
    <sheetView zoomScale="70" zoomScaleNormal="70" workbookViewId="0">
      <selection sqref="A1:XFD1"/>
    </sheetView>
  </sheetViews>
  <sheetFormatPr defaultRowHeight="14.25"/>
  <cols>
    <col min="1" max="1" width="9.140625" style="52"/>
    <col min="2" max="2" width="37.5703125" style="66" customWidth="1"/>
    <col min="3" max="4" width="22.85546875" style="72" customWidth="1"/>
    <col min="5" max="9" width="22.85546875" style="52" customWidth="1"/>
    <col min="10" max="10" width="9.140625" style="52"/>
    <col min="11" max="11" width="10.140625" style="52" customWidth="1"/>
    <col min="12" max="12" width="9.140625" style="52"/>
    <col min="13" max="13" width="10.140625" style="52" bestFit="1" customWidth="1"/>
    <col min="14" max="14" width="2.140625" style="52" customWidth="1"/>
    <col min="15" max="15" width="10.140625" style="52" bestFit="1" customWidth="1"/>
    <col min="16" max="17" width="9.140625" style="52"/>
    <col min="18" max="18" width="10.5703125" style="52" customWidth="1"/>
    <col min="19" max="19" width="11.85546875" style="52" customWidth="1"/>
    <col min="20" max="16384" width="9.140625" style="52"/>
  </cols>
  <sheetData>
    <row r="1" spans="2:16" ht="9.75" customHeight="1">
      <c r="B1" s="352"/>
    </row>
    <row r="2" spans="2:16" ht="24" customHeight="1">
      <c r="B2" s="385" t="s">
        <v>567</v>
      </c>
      <c r="C2" s="385"/>
      <c r="D2" s="385"/>
      <c r="E2" s="385"/>
      <c r="F2" s="385"/>
      <c r="G2" s="385"/>
      <c r="H2" s="385"/>
    </row>
    <row r="3" spans="2:16" ht="18" customHeight="1">
      <c r="B3" s="497" t="s">
        <v>552</v>
      </c>
      <c r="C3" s="385"/>
      <c r="D3" s="385"/>
      <c r="E3" s="385"/>
      <c r="F3" s="385"/>
      <c r="G3" s="385"/>
      <c r="H3" s="385"/>
    </row>
    <row r="4" spans="2:16" ht="18" customHeight="1">
      <c r="B4" s="385"/>
      <c r="C4" s="385"/>
      <c r="D4" s="385"/>
      <c r="E4" s="385"/>
      <c r="F4" s="385"/>
      <c r="G4" s="385"/>
      <c r="H4" s="385"/>
    </row>
    <row r="5" spans="2:16" ht="21" customHeight="1" thickBot="1">
      <c r="B5" s="387" t="s">
        <v>392</v>
      </c>
      <c r="C5" s="388"/>
      <c r="D5" s="388"/>
      <c r="E5" s="388"/>
      <c r="F5" s="388"/>
      <c r="G5" s="388"/>
      <c r="H5" s="388"/>
      <c r="I5" s="361"/>
    </row>
    <row r="6" spans="2:16" ht="98.25" customHeight="1" thickBot="1">
      <c r="B6" s="402" t="s">
        <v>152</v>
      </c>
      <c r="C6" s="397" t="s">
        <v>405</v>
      </c>
      <c r="D6" s="398" t="s">
        <v>356</v>
      </c>
      <c r="E6" s="399" t="s">
        <v>310</v>
      </c>
      <c r="F6" s="400" t="s">
        <v>355</v>
      </c>
      <c r="G6" s="230" t="s">
        <v>407</v>
      </c>
      <c r="H6" s="498" t="s">
        <v>404</v>
      </c>
      <c r="I6" s="400" t="s">
        <v>406</v>
      </c>
      <c r="J6" s="56"/>
      <c r="K6" s="56"/>
      <c r="L6" s="56"/>
      <c r="M6" s="56"/>
      <c r="N6" s="56"/>
      <c r="O6" s="56"/>
      <c r="P6" s="56"/>
    </row>
    <row r="7" spans="2:16" ht="18">
      <c r="B7" s="389" t="s">
        <v>334</v>
      </c>
      <c r="C7" s="499">
        <f>45*0.8</f>
        <v>36</v>
      </c>
      <c r="D7" s="500">
        <f>'Direct Seeded Cost Sheet'!J7</f>
        <v>1</v>
      </c>
      <c r="E7" s="501">
        <f>'Sales Price Sheet'!D8</f>
        <v>1</v>
      </c>
      <c r="F7" s="501">
        <f>C7*D7*E7</f>
        <v>36</v>
      </c>
      <c r="G7" s="502"/>
      <c r="H7" s="503">
        <f t="shared" ref="H7:H41" si="0">F7*G7</f>
        <v>0</v>
      </c>
      <c r="I7" s="503">
        <f>IF(G7=0,0,((F7*G7)-('Market Garden Budget'!$F$84/(SUM('EARLY SEASON CROPS 1'!$G$7:$G$41)+SUM('MID SEASON CROPS 2'!$G$7:$G$41)+SUM('LATE SEASON CROPS 3'!$G$2:$G$37)))))</f>
        <v>0</v>
      </c>
    </row>
    <row r="8" spans="2:16" ht="18">
      <c r="B8" s="389" t="s">
        <v>333</v>
      </c>
      <c r="C8" s="499">
        <f>80*0.8</f>
        <v>64</v>
      </c>
      <c r="D8" s="500">
        <f>'Direct Seeded Cost Sheet'!J8</f>
        <v>1</v>
      </c>
      <c r="E8" s="501">
        <f>'Sales Price Sheet'!D9</f>
        <v>1</v>
      </c>
      <c r="F8" s="501">
        <f t="shared" ref="F8:F41" si="1">C8*D8*E8</f>
        <v>64</v>
      </c>
      <c r="G8" s="502"/>
      <c r="H8" s="503">
        <f t="shared" si="0"/>
        <v>0</v>
      </c>
      <c r="I8" s="503">
        <f>IF(G8=0,0,((F8*G8)-('Market Garden Budget'!$F$84/(SUM('EARLY SEASON CROPS 1'!$G$7:$G$41)+SUM('MID SEASON CROPS 2'!$G$7:$G$41)+SUM('LATE SEASON CROPS 3'!$G$2:$G$37)))))</f>
        <v>0</v>
      </c>
    </row>
    <row r="9" spans="2:16" ht="18">
      <c r="B9" s="389" t="s">
        <v>147</v>
      </c>
      <c r="C9" s="499">
        <f>100*0.8</f>
        <v>80</v>
      </c>
      <c r="D9" s="500">
        <f>'Direct Seeded Cost Sheet'!J9</f>
        <v>3</v>
      </c>
      <c r="E9" s="501">
        <f>'Sales Price Sheet'!D10</f>
        <v>1.5</v>
      </c>
      <c r="F9" s="501">
        <f t="shared" si="1"/>
        <v>360</v>
      </c>
      <c r="G9" s="502"/>
      <c r="H9" s="503">
        <f t="shared" si="0"/>
        <v>0</v>
      </c>
      <c r="I9" s="503">
        <f>IF(G9=0,0,((F9*G9)-('Market Garden Budget'!$F$84/(SUM('EARLY SEASON CROPS 1'!$G$7:$G$41)+SUM('MID SEASON CROPS 2'!$G$7:$G$41)+SUM('LATE SEASON CROPS 3'!$G$2:$G$37)))))</f>
        <v>0</v>
      </c>
    </row>
    <row r="10" spans="2:16" ht="18">
      <c r="B10" s="389" t="s">
        <v>151</v>
      </c>
      <c r="C10" s="499">
        <f>50*0.8</f>
        <v>40</v>
      </c>
      <c r="D10" s="500">
        <f>'Direct Seeded Cost Sheet'!J10</f>
        <v>2</v>
      </c>
      <c r="E10" s="501">
        <f>'Sales Price Sheet'!D11</f>
        <v>2</v>
      </c>
      <c r="F10" s="501">
        <f t="shared" si="1"/>
        <v>160</v>
      </c>
      <c r="G10" s="502">
        <v>2</v>
      </c>
      <c r="H10" s="503">
        <f>F10*G10</f>
        <v>320</v>
      </c>
      <c r="I10" s="503">
        <f>IF(G10=0,0,((F10*G10)-('Market Garden Budget'!$F$84/(SUM('EARLY SEASON CROPS 1'!$G$7:$G$41)+SUM('MID SEASON CROPS 2'!$G$7:$G$41)+SUM('LATE SEASON CROPS 3'!$G$2:$G$37)))))</f>
        <v>48.04475556892146</v>
      </c>
    </row>
    <row r="11" spans="2:16" ht="18">
      <c r="B11" s="389" t="s">
        <v>153</v>
      </c>
      <c r="C11" s="499">
        <f>75*0.8</f>
        <v>60</v>
      </c>
      <c r="D11" s="500">
        <f>'Direct Seeded Cost Sheet'!J11</f>
        <v>1</v>
      </c>
      <c r="E11" s="501">
        <f>'Sales Price Sheet'!D12</f>
        <v>4</v>
      </c>
      <c r="F11" s="501">
        <f t="shared" si="1"/>
        <v>240</v>
      </c>
      <c r="G11" s="502">
        <v>3</v>
      </c>
      <c r="H11" s="503">
        <f t="shared" si="0"/>
        <v>720</v>
      </c>
      <c r="I11" s="503">
        <f>IF(G11=0,0,((F11*G11)-('Market Garden Budget'!$F$84/(SUM('EARLY SEASON CROPS 1'!$G$7:$G$41)+SUM('MID SEASON CROPS 2'!$G$7:$G$41)+SUM('LATE SEASON CROPS 3'!$G$2:$G$37)))))</f>
        <v>448.04475556892146</v>
      </c>
    </row>
    <row r="12" spans="2:16" ht="18">
      <c r="B12" s="389" t="s">
        <v>154</v>
      </c>
      <c r="C12" s="499">
        <f>200*0.8</f>
        <v>160</v>
      </c>
      <c r="D12" s="500">
        <f>'Direct Seeded Cost Sheet'!J12</f>
        <v>2</v>
      </c>
      <c r="E12" s="501">
        <f>'Sales Price Sheet'!D13</f>
        <v>1</v>
      </c>
      <c r="F12" s="501">
        <f t="shared" si="1"/>
        <v>320</v>
      </c>
      <c r="G12" s="502"/>
      <c r="H12" s="503">
        <f t="shared" si="0"/>
        <v>0</v>
      </c>
      <c r="I12" s="503">
        <f>IF(G12=0,0,((F12*G12)-('Market Garden Budget'!$F$84/(SUM('EARLY SEASON CROPS 1'!$G$7:$G$41)+SUM('MID SEASON CROPS 2'!$G$7:$G$41)+SUM('LATE SEASON CROPS 3'!$G$2:$G$37)))))</f>
        <v>0</v>
      </c>
    </row>
    <row r="13" spans="2:16" ht="18">
      <c r="B13" s="390" t="s">
        <v>311</v>
      </c>
      <c r="C13" s="499">
        <f>80*0.8</f>
        <v>64</v>
      </c>
      <c r="D13" s="500">
        <f>'Direct Seeded Cost Sheet'!J13</f>
        <v>2</v>
      </c>
      <c r="E13" s="501">
        <f>'Sales Price Sheet'!D14</f>
        <v>2</v>
      </c>
      <c r="F13" s="501">
        <f t="shared" si="1"/>
        <v>256</v>
      </c>
      <c r="G13" s="502"/>
      <c r="H13" s="503">
        <f t="shared" si="0"/>
        <v>0</v>
      </c>
      <c r="I13" s="503">
        <f>IF(G13=0,0,((F13*G13)-('Market Garden Budget'!$F$84/(SUM('EARLY SEASON CROPS 1'!$G$7:$G$41)+SUM('MID SEASON CROPS 2'!$G$7:$G$41)+SUM('LATE SEASON CROPS 3'!$G$2:$G$37)))))</f>
        <v>0</v>
      </c>
      <c r="J13" s="52" t="s">
        <v>555</v>
      </c>
      <c r="M13" s="58"/>
      <c r="N13" s="58"/>
    </row>
    <row r="14" spans="2:16" ht="18">
      <c r="B14" s="389" t="s">
        <v>155</v>
      </c>
      <c r="C14" s="499">
        <f>100*0.8</f>
        <v>80</v>
      </c>
      <c r="D14" s="500">
        <f>'Direct Seeded Cost Sheet'!J14</f>
        <v>2</v>
      </c>
      <c r="E14" s="501">
        <f>'Sales Price Sheet'!D15</f>
        <v>1</v>
      </c>
      <c r="F14" s="501">
        <f t="shared" si="1"/>
        <v>160</v>
      </c>
      <c r="G14" s="502">
        <v>2</v>
      </c>
      <c r="H14" s="503">
        <f t="shared" si="0"/>
        <v>320</v>
      </c>
      <c r="I14" s="503">
        <f>IF(G14=0,0,((F14*G14)-('Market Garden Budget'!$F$84/(SUM('EARLY SEASON CROPS 1'!$G$7:$G$41)+SUM('MID SEASON CROPS 2'!$G$7:$G$41)+SUM('LATE SEASON CROPS 3'!$G$2:$G$37)))))</f>
        <v>48.04475556892146</v>
      </c>
    </row>
    <row r="15" spans="2:16" ht="18">
      <c r="B15" s="389" t="s">
        <v>156</v>
      </c>
      <c r="C15" s="499">
        <f>75*0.8</f>
        <v>60</v>
      </c>
      <c r="D15" s="500">
        <f>'Direct Seeded Cost Sheet'!J15</f>
        <v>1</v>
      </c>
      <c r="E15" s="501">
        <f>'Sales Price Sheet'!D16</f>
        <v>2</v>
      </c>
      <c r="F15" s="501">
        <f t="shared" si="1"/>
        <v>120</v>
      </c>
      <c r="G15" s="502">
        <v>2</v>
      </c>
      <c r="H15" s="503">
        <f t="shared" si="0"/>
        <v>240</v>
      </c>
      <c r="I15" s="503">
        <f>IF(G15=0,0,((F15*G15)-('Market Garden Budget'!$F$84/(SUM('EARLY SEASON CROPS 1'!$G$7:$G$41)+SUM('MID SEASON CROPS 2'!$G$7:$G$41)+SUM('LATE SEASON CROPS 3'!$G$2:$G$37)))))</f>
        <v>-31.95524443107854</v>
      </c>
    </row>
    <row r="16" spans="2:16" ht="18">
      <c r="B16" s="391" t="s">
        <v>362</v>
      </c>
      <c r="C16" s="499">
        <f>175*0.8</f>
        <v>140</v>
      </c>
      <c r="D16" s="500">
        <f>'Direct Seeded Cost Sheet'!J16</f>
        <v>2</v>
      </c>
      <c r="E16" s="501">
        <f>'Sales Price Sheet'!D17</f>
        <v>1.5</v>
      </c>
      <c r="F16" s="501">
        <f t="shared" si="1"/>
        <v>420</v>
      </c>
      <c r="G16" s="502">
        <v>2</v>
      </c>
      <c r="H16" s="503">
        <f t="shared" si="0"/>
        <v>840</v>
      </c>
      <c r="I16" s="503">
        <f>IF(G16=0,0,((F16*G16)-('Market Garden Budget'!$F$84/(SUM('EARLY SEASON CROPS 1'!$G$7:$G$41)+SUM('MID SEASON CROPS 2'!$G$7:$G$41)+SUM('LATE SEASON CROPS 3'!$G$2:$G$37)))))</f>
        <v>568.04475556892146</v>
      </c>
    </row>
    <row r="17" spans="2:15" ht="18">
      <c r="B17" s="392" t="s">
        <v>161</v>
      </c>
      <c r="C17" s="499">
        <f>180*0.8</f>
        <v>144</v>
      </c>
      <c r="D17" s="500">
        <f>'Transplant Seed Cost Sheet'!I7</f>
        <v>1</v>
      </c>
      <c r="E17" s="501">
        <f>'Sales Price Sheet'!D18</f>
        <v>2</v>
      </c>
      <c r="F17" s="501">
        <f t="shared" si="1"/>
        <v>288</v>
      </c>
      <c r="G17" s="502"/>
      <c r="H17" s="503">
        <f t="shared" si="0"/>
        <v>0</v>
      </c>
      <c r="I17" s="503">
        <f>IF(G17=0,0,((F17*G17)-('Market Garden Budget'!$F$84/(SUM('EARLY SEASON CROPS 1'!$G$7:$G$41)+SUM('MID SEASON CROPS 2'!$G$7:$G$41)+SUM('LATE SEASON CROPS 3'!$G$2:$G$37)))))</f>
        <v>0</v>
      </c>
      <c r="O17" s="58"/>
    </row>
    <row r="18" spans="2:15" ht="18">
      <c r="B18" s="389" t="s">
        <v>157</v>
      </c>
      <c r="C18" s="499">
        <f>120*0.8</f>
        <v>96</v>
      </c>
      <c r="D18" s="500">
        <f>'Transplant Seed Cost Sheet'!I8</f>
        <v>2</v>
      </c>
      <c r="E18" s="501">
        <f>'Sales Price Sheet'!D19</f>
        <v>1.5</v>
      </c>
      <c r="F18" s="501">
        <f t="shared" si="1"/>
        <v>288</v>
      </c>
      <c r="G18" s="502"/>
      <c r="H18" s="503">
        <f t="shared" si="0"/>
        <v>0</v>
      </c>
      <c r="I18" s="503">
        <f>IF(G18=0,0,((F18*G18)-('Market Garden Budget'!$F$84/(SUM('EARLY SEASON CROPS 1'!$G$7:$G$41)+SUM('MID SEASON CROPS 2'!$G$7:$G$41)+SUM('LATE SEASON CROPS 3'!$G$2:$G$37)))))</f>
        <v>0</v>
      </c>
    </row>
    <row r="19" spans="2:15" ht="18">
      <c r="B19" s="389" t="s">
        <v>312</v>
      </c>
      <c r="C19" s="499">
        <f>46*0.8</f>
        <v>36.800000000000004</v>
      </c>
      <c r="D19" s="500">
        <f>'Direct Seeded Cost Sheet'!J17</f>
        <v>3</v>
      </c>
      <c r="E19" s="501">
        <f>'Sales Price Sheet'!D20</f>
        <v>0</v>
      </c>
      <c r="F19" s="501">
        <f t="shared" si="1"/>
        <v>0</v>
      </c>
      <c r="G19" s="502"/>
      <c r="H19" s="503">
        <f t="shared" si="0"/>
        <v>0</v>
      </c>
      <c r="I19" s="503">
        <f>IF(G19=0,0,((F19*G19)-('Market Garden Budget'!$F$84/(SUM('EARLY SEASON CROPS 1'!$G$7:$G$41)+SUM('MID SEASON CROPS 2'!$G$7:$G$41)+SUM('LATE SEASON CROPS 3'!$G$2:$G$37)))))</f>
        <v>0</v>
      </c>
    </row>
    <row r="20" spans="2:15" ht="18">
      <c r="B20" s="389" t="s">
        <v>158</v>
      </c>
      <c r="C20" s="499">
        <f>100*0.8</f>
        <v>80</v>
      </c>
      <c r="D20" s="500">
        <f>'Direct Seeded Cost Sheet'!J18</f>
        <v>3</v>
      </c>
      <c r="E20" s="501">
        <f>'Sales Price Sheet'!D21</f>
        <v>1.5</v>
      </c>
      <c r="F20" s="501">
        <f t="shared" si="1"/>
        <v>360</v>
      </c>
      <c r="G20" s="502"/>
      <c r="H20" s="503">
        <f t="shared" si="0"/>
        <v>0</v>
      </c>
      <c r="I20" s="503">
        <f>IF(G20=0,0,((F20*G20)-('Market Garden Budget'!$F$84/(SUM('EARLY SEASON CROPS 1'!$G$7:$G$41)+SUM('MID SEASON CROPS 2'!$G$7:$G$41)+SUM('LATE SEASON CROPS 3'!$G$2:$G$37)))))</f>
        <v>0</v>
      </c>
      <c r="J20" s="52" t="s">
        <v>556</v>
      </c>
    </row>
    <row r="21" spans="2:15" ht="18">
      <c r="B21" s="389" t="s">
        <v>159</v>
      </c>
      <c r="C21" s="499">
        <f>120*0.8</f>
        <v>96</v>
      </c>
      <c r="D21" s="500">
        <f>'Direct Seeded Cost Sheet'!J19</f>
        <v>1</v>
      </c>
      <c r="E21" s="501">
        <f>'Sales Price Sheet'!D22</f>
        <v>3</v>
      </c>
      <c r="F21" s="501">
        <f t="shared" si="1"/>
        <v>288</v>
      </c>
      <c r="G21" s="502"/>
      <c r="H21" s="503">
        <f t="shared" si="0"/>
        <v>0</v>
      </c>
      <c r="I21" s="503">
        <f>IF(G21=0,0,((F21*G21)-('Market Garden Budget'!$F$84/(SUM('EARLY SEASON CROPS 1'!$G$7:$G$41)+SUM('MID SEASON CROPS 2'!$G$7:$G$41)+SUM('LATE SEASON CROPS 3'!$G$2:$G$37)))))</f>
        <v>0</v>
      </c>
    </row>
    <row r="22" spans="2:15" ht="18">
      <c r="B22" s="389" t="s">
        <v>160</v>
      </c>
      <c r="C22" s="499">
        <f>120*0.8</f>
        <v>96</v>
      </c>
      <c r="D22" s="500">
        <f>'Transplant Seed Cost Sheet'!I16</f>
        <v>1</v>
      </c>
      <c r="E22" s="501">
        <f>'Sales Price Sheet'!D23</f>
        <v>2.5</v>
      </c>
      <c r="F22" s="501">
        <f t="shared" si="1"/>
        <v>240</v>
      </c>
      <c r="G22" s="502"/>
      <c r="H22" s="503">
        <f t="shared" si="0"/>
        <v>0</v>
      </c>
      <c r="I22" s="503">
        <f>IF(G22=0,0,((F22*G22)-('Market Garden Budget'!$F$84/(SUM('EARLY SEASON CROPS 1'!$G$7:$G$41)+SUM('MID SEASON CROPS 2'!$G$7:$G$41)+SUM('LATE SEASON CROPS 3'!$G$2:$G$37)))))</f>
        <v>0</v>
      </c>
      <c r="J22" s="52" t="s">
        <v>554</v>
      </c>
    </row>
    <row r="23" spans="2:15" ht="18">
      <c r="B23" s="389" t="s">
        <v>181</v>
      </c>
      <c r="C23" s="499">
        <v>31</v>
      </c>
      <c r="D23" s="500">
        <f>'Transplant Seed Cost Sheet'!I9</f>
        <v>1</v>
      </c>
      <c r="E23" s="501">
        <f>'Sales Price Sheet'!D24</f>
        <v>2.5</v>
      </c>
      <c r="F23" s="501">
        <f t="shared" si="1"/>
        <v>77.5</v>
      </c>
      <c r="G23" s="502"/>
      <c r="H23" s="503">
        <f t="shared" si="0"/>
        <v>0</v>
      </c>
      <c r="I23" s="503">
        <f>IF(G23=0,0,((F23*G23)-('Market Garden Budget'!$F$84/(SUM('EARLY SEASON CROPS 1'!$G$7:$G$41)+SUM('MID SEASON CROPS 2'!$G$7:$G$41)+SUM('LATE SEASON CROPS 3'!$G$2:$G$37)))))</f>
        <v>0</v>
      </c>
    </row>
    <row r="24" spans="2:15" ht="18">
      <c r="B24" s="389" t="s">
        <v>227</v>
      </c>
      <c r="C24" s="499">
        <f>150*0.8</f>
        <v>120</v>
      </c>
      <c r="D24" s="500">
        <f>'Direct Seeded Cost Sheet'!J20</f>
        <v>3</v>
      </c>
      <c r="E24" s="501">
        <f>'Sales Price Sheet'!D25</f>
        <v>1.29</v>
      </c>
      <c r="F24" s="501">
        <f t="shared" si="1"/>
        <v>464.40000000000003</v>
      </c>
      <c r="G24" s="502"/>
      <c r="H24" s="503">
        <f t="shared" si="0"/>
        <v>0</v>
      </c>
      <c r="I24" s="503">
        <f>IF(G24=0,0,((F24*G24)-('Market Garden Budget'!$F$84/(SUM('EARLY SEASON CROPS 1'!$G$7:$G$41)+SUM('MID SEASON CROPS 2'!$G$7:$G$41)+SUM('LATE SEASON CROPS 3'!$G$2:$G$37)))))</f>
        <v>0</v>
      </c>
    </row>
    <row r="25" spans="2:15" ht="18">
      <c r="B25" s="389" t="s">
        <v>180</v>
      </c>
      <c r="C25" s="499">
        <v>30</v>
      </c>
      <c r="D25" s="500">
        <f>'Direct Seeded Cost Sheet'!J21</f>
        <v>3</v>
      </c>
      <c r="E25" s="501">
        <f>'Sales Price Sheet'!D26</f>
        <v>4</v>
      </c>
      <c r="F25" s="501">
        <f t="shared" si="1"/>
        <v>360</v>
      </c>
      <c r="G25" s="502"/>
      <c r="H25" s="503">
        <f t="shared" si="0"/>
        <v>0</v>
      </c>
      <c r="I25" s="503">
        <f>IF(G25=0,0,((F25*G25)-('Market Garden Budget'!$F$84/(SUM('EARLY SEASON CROPS 1'!$G$7:$G$41)+SUM('MID SEASON CROPS 2'!$G$7:$G$41)+SUM('LATE SEASON CROPS 3'!$G$2:$G$37)))))</f>
        <v>0</v>
      </c>
    </row>
    <row r="26" spans="2:15" ht="18">
      <c r="B26" s="389" t="s">
        <v>205</v>
      </c>
      <c r="C26" s="499">
        <f>100*0.8</f>
        <v>80</v>
      </c>
      <c r="D26" s="500">
        <f>'Direct Seeded Cost Sheet'!J22</f>
        <v>2</v>
      </c>
      <c r="E26" s="501">
        <f>'Sales Price Sheet'!D27</f>
        <v>1</v>
      </c>
      <c r="F26" s="501">
        <f t="shared" si="1"/>
        <v>160</v>
      </c>
      <c r="G26" s="502">
        <v>2</v>
      </c>
      <c r="H26" s="503">
        <f t="shared" si="0"/>
        <v>320</v>
      </c>
      <c r="I26" s="503">
        <f>IF(G26=0,0,((F26*G26)-('Market Garden Budget'!$F$84/(SUM('EARLY SEASON CROPS 1'!$G$7:$G$41)+SUM('MID SEASON CROPS 2'!$G$7:$G$41)+SUM('LATE SEASON CROPS 3'!$G$2:$G$37)))))</f>
        <v>48.04475556892146</v>
      </c>
    </row>
    <row r="27" spans="2:15" ht="18">
      <c r="B27" s="389" t="s">
        <v>313</v>
      </c>
      <c r="C27" s="499">
        <v>40</v>
      </c>
      <c r="D27" s="500">
        <f>'Direct Seeded Cost Sheet'!J23</f>
        <v>2</v>
      </c>
      <c r="E27" s="501">
        <f>'Sales Price Sheet'!D28</f>
        <v>2</v>
      </c>
      <c r="F27" s="501">
        <f t="shared" si="1"/>
        <v>160</v>
      </c>
      <c r="G27" s="502"/>
      <c r="H27" s="503">
        <f t="shared" si="0"/>
        <v>0</v>
      </c>
      <c r="I27" s="503">
        <f>IF(G27=0,0,((F27*G27)-('Market Garden Budget'!$F$84/(SUM('EARLY SEASON CROPS 1'!$G$7:$G$41)+SUM('MID SEASON CROPS 2'!$G$7:$G$41)+SUM('LATE SEASON CROPS 3'!$G$2:$G$37)))))</f>
        <v>0</v>
      </c>
    </row>
    <row r="28" spans="2:15" ht="18">
      <c r="B28" s="392" t="s">
        <v>210</v>
      </c>
      <c r="C28" s="499">
        <v>20</v>
      </c>
      <c r="D28" s="500">
        <f>'Direct Seeded Cost Sheet'!J24</f>
        <v>1</v>
      </c>
      <c r="E28" s="501">
        <f>'Sales Price Sheet'!D29</f>
        <v>2</v>
      </c>
      <c r="F28" s="501">
        <f t="shared" si="1"/>
        <v>40</v>
      </c>
      <c r="G28" s="502"/>
      <c r="H28" s="503">
        <f t="shared" si="0"/>
        <v>0</v>
      </c>
      <c r="I28" s="503">
        <f>IF(G28=0,0,((F28*G28)-('Market Garden Budget'!$F$84/(SUM('EARLY SEASON CROPS 1'!$G$7:$G$41)+SUM('MID SEASON CROPS 2'!$G$7:$G$41)+SUM('LATE SEASON CROPS 3'!$G$2:$G$37)))))</f>
        <v>0</v>
      </c>
    </row>
    <row r="29" spans="2:15" ht="18">
      <c r="B29" s="392" t="s">
        <v>217</v>
      </c>
      <c r="C29" s="499">
        <f>100*0.8</f>
        <v>80</v>
      </c>
      <c r="D29" s="500">
        <f>'Transplant Seed Cost Sheet'!I11</f>
        <v>2</v>
      </c>
      <c r="E29" s="501">
        <f>'Sales Price Sheet'!D30</f>
        <v>2.5</v>
      </c>
      <c r="F29" s="501">
        <f t="shared" si="1"/>
        <v>400</v>
      </c>
      <c r="G29" s="502"/>
      <c r="H29" s="503">
        <f t="shared" si="0"/>
        <v>0</v>
      </c>
      <c r="I29" s="503">
        <f>IF(G29=0,0,((F29*G29)-('Market Garden Budget'!$F$84/(SUM('EARLY SEASON CROPS 1'!$G$7:$G$41)+SUM('MID SEASON CROPS 2'!$G$7:$G$41)+SUM('LATE SEASON CROPS 3'!$G$2:$G$37)))))</f>
        <v>0</v>
      </c>
    </row>
    <row r="30" spans="2:15" ht="18">
      <c r="B30" s="389" t="s">
        <v>218</v>
      </c>
      <c r="C30" s="499">
        <f>100*0.8</f>
        <v>80</v>
      </c>
      <c r="D30" s="500">
        <f>'Transplant Seed Cost Sheet'!I12</f>
        <v>2</v>
      </c>
      <c r="E30" s="501">
        <f>'Sales Price Sheet'!D31</f>
        <v>1.5</v>
      </c>
      <c r="F30" s="501">
        <f t="shared" si="1"/>
        <v>240</v>
      </c>
      <c r="G30" s="502"/>
      <c r="H30" s="503">
        <f t="shared" si="0"/>
        <v>0</v>
      </c>
      <c r="I30" s="503">
        <f>IF(G30=0,0,((F30*G30)-('Market Garden Budget'!$F$84/(SUM('EARLY SEASON CROPS 1'!$G$7:$G$41)+SUM('MID SEASON CROPS 2'!$G$7:$G$41)+SUM('LATE SEASON CROPS 3'!$G$2:$G$37)))))</f>
        <v>0</v>
      </c>
    </row>
    <row r="31" spans="2:15" ht="18">
      <c r="B31" s="392" t="s">
        <v>419</v>
      </c>
      <c r="C31" s="499">
        <v>80</v>
      </c>
      <c r="D31" s="500">
        <f>'Direct Seeded Cost Sheet'!J25</f>
        <v>1</v>
      </c>
      <c r="E31" s="501">
        <f>'Sales Price Sheet'!D32</f>
        <v>1</v>
      </c>
      <c r="F31" s="501">
        <f t="shared" si="1"/>
        <v>80</v>
      </c>
      <c r="G31" s="502"/>
      <c r="H31" s="503">
        <f t="shared" si="0"/>
        <v>0</v>
      </c>
      <c r="I31" s="503">
        <f>IF(G31=0,0,((F31*G31)-('Market Garden Budget'!$F$84/(SUM('EARLY SEASON CROPS 1'!$G$7:$G$41)+SUM('MID SEASON CROPS 2'!$G$7:$G$41)+SUM('LATE SEASON CROPS 3'!$G$2:$G$37)))))</f>
        <v>0</v>
      </c>
    </row>
    <row r="32" spans="2:15" ht="18">
      <c r="B32" s="389" t="s">
        <v>418</v>
      </c>
      <c r="C32" s="499">
        <v>120</v>
      </c>
      <c r="D32" s="500">
        <f>'Direct Seeded Cost Sheet'!J26</f>
        <v>1</v>
      </c>
      <c r="E32" s="501">
        <f>'Sales Price Sheet'!D33</f>
        <v>1</v>
      </c>
      <c r="F32" s="501">
        <f t="shared" si="1"/>
        <v>120</v>
      </c>
      <c r="G32" s="502"/>
      <c r="H32" s="503">
        <f t="shared" si="0"/>
        <v>0</v>
      </c>
      <c r="I32" s="503">
        <f>IF(G32=0,0,((F32*G32)-('Market Garden Budget'!$F$84/(SUM('EARLY SEASON CROPS 1'!$G$7:$G$41)+SUM('MID SEASON CROPS 2'!$G$7:$G$41)+SUM('LATE SEASON CROPS 3'!$G$2:$G$37)))))</f>
        <v>0</v>
      </c>
    </row>
    <row r="33" spans="2:10" ht="18">
      <c r="B33" s="389" t="s">
        <v>219</v>
      </c>
      <c r="C33" s="499">
        <v>120</v>
      </c>
      <c r="D33" s="500">
        <f>'Transplant Seed Cost Sheet'!I13</f>
        <v>2</v>
      </c>
      <c r="E33" s="501">
        <f>'Sales Price Sheet'!D34</f>
        <v>1.25</v>
      </c>
      <c r="F33" s="501">
        <f t="shared" si="1"/>
        <v>300</v>
      </c>
      <c r="G33" s="502"/>
      <c r="H33" s="503">
        <f t="shared" si="0"/>
        <v>0</v>
      </c>
      <c r="I33" s="503">
        <f>IF(G33=0,0,((F33*G33)-('Market Garden Budget'!$F$84/(SUM('EARLY SEASON CROPS 1'!$G$7:$G$41)+SUM('MID SEASON CROPS 2'!$G$7:$G$41)+SUM('LATE SEASON CROPS 3'!$G$2:$G$37)))))</f>
        <v>0</v>
      </c>
    </row>
    <row r="34" spans="2:10" ht="18">
      <c r="B34" s="389" t="s">
        <v>220</v>
      </c>
      <c r="C34" s="499">
        <f>75*0.8</f>
        <v>60</v>
      </c>
      <c r="D34" s="500">
        <v>1</v>
      </c>
      <c r="E34" s="501">
        <f>'Sales Price Sheet'!D35</f>
        <v>1.2</v>
      </c>
      <c r="F34" s="501">
        <f t="shared" si="1"/>
        <v>72</v>
      </c>
      <c r="G34" s="502"/>
      <c r="H34" s="503">
        <f t="shared" si="0"/>
        <v>0</v>
      </c>
      <c r="I34" s="503">
        <f>IF(G34=0,0,((F34*G34)-('Market Garden Budget'!$F$84/(SUM('EARLY SEASON CROPS 1'!$G$7:$G$41)+SUM('MID SEASON CROPS 2'!$G$7:$G$41)+SUM('LATE SEASON CROPS 3'!$G$2:$G$37)))))</f>
        <v>0</v>
      </c>
      <c r="J34" s="52" t="s">
        <v>553</v>
      </c>
    </row>
    <row r="35" spans="2:10" ht="18">
      <c r="B35" s="389" t="s">
        <v>306</v>
      </c>
      <c r="C35" s="499">
        <v>30</v>
      </c>
      <c r="D35" s="500">
        <f>'Direct Seeded Cost Sheet'!J28</f>
        <v>3</v>
      </c>
      <c r="E35" s="501">
        <f>'Sales Price Sheet'!D36</f>
        <v>2</v>
      </c>
      <c r="F35" s="501">
        <f t="shared" si="1"/>
        <v>180</v>
      </c>
      <c r="G35" s="502"/>
      <c r="H35" s="503">
        <f t="shared" si="0"/>
        <v>0</v>
      </c>
      <c r="I35" s="503">
        <f>IF(G35=0,0,((F35*G35)-('Market Garden Budget'!$F$84/(SUM('EARLY SEASON CROPS 1'!$G$7:$G$41)+SUM('MID SEASON CROPS 2'!$G$7:$G$41)+SUM('LATE SEASON CROPS 3'!$G$2:$G$37)))))</f>
        <v>0</v>
      </c>
    </row>
    <row r="36" spans="2:10" ht="18">
      <c r="B36" s="389" t="s">
        <v>221</v>
      </c>
      <c r="C36" s="499">
        <v>120</v>
      </c>
      <c r="D36" s="500">
        <f>'Transplant Seed Cost Sheet'!I13</f>
        <v>2</v>
      </c>
      <c r="E36" s="501">
        <f>'Sales Price Sheet'!D37</f>
        <v>1.5</v>
      </c>
      <c r="F36" s="501">
        <f t="shared" si="1"/>
        <v>360</v>
      </c>
      <c r="G36" s="502"/>
      <c r="H36" s="503">
        <f t="shared" si="0"/>
        <v>0</v>
      </c>
      <c r="I36" s="503">
        <f>IF(G36=0,0,((F36*G36)-('Market Garden Budget'!$F$84/(SUM('EARLY SEASON CROPS 1'!$G$7:$G$41)+SUM('MID SEASON CROPS 2'!$G$7:$G$41)+SUM('LATE SEASON CROPS 3'!$G$2:$G$37)))))</f>
        <v>0</v>
      </c>
    </row>
    <row r="37" spans="2:10" ht="18">
      <c r="B37" s="389" t="s">
        <v>222</v>
      </c>
      <c r="C37" s="499">
        <v>180</v>
      </c>
      <c r="D37" s="500">
        <f>'Transplant Seed Cost Sheet'!I14</f>
        <v>1.5</v>
      </c>
      <c r="E37" s="501">
        <f>'Sales Price Sheet'!D38</f>
        <v>1</v>
      </c>
      <c r="F37" s="501">
        <f t="shared" si="1"/>
        <v>270</v>
      </c>
      <c r="G37" s="502">
        <v>2</v>
      </c>
      <c r="H37" s="503">
        <f t="shared" si="0"/>
        <v>540</v>
      </c>
      <c r="I37" s="503">
        <f>IF(G37=0,0,((F37*G37)-('Market Garden Budget'!$F$84/(SUM('EARLY SEASON CROPS 1'!$G$7:$G$41)+SUM('MID SEASON CROPS 2'!$G$7:$G$41)+SUM('LATE SEASON CROPS 3'!$G$2:$G$37)))))</f>
        <v>268.04475556892146</v>
      </c>
    </row>
    <row r="38" spans="2:10" ht="18">
      <c r="B38" s="389" t="s">
        <v>223</v>
      </c>
      <c r="C38" s="499">
        <v>200</v>
      </c>
      <c r="D38" s="500">
        <f>'Transplant Seed Cost Sheet'!I15</f>
        <v>1.5</v>
      </c>
      <c r="E38" s="501">
        <f>'Sales Price Sheet'!D39</f>
        <v>2.5</v>
      </c>
      <c r="F38" s="501">
        <f t="shared" si="1"/>
        <v>750</v>
      </c>
      <c r="G38" s="502"/>
      <c r="H38" s="503">
        <f t="shared" si="0"/>
        <v>0</v>
      </c>
      <c r="I38" s="503">
        <f>IF(G38=0,0,((F38*G38)-('Market Garden Budget'!$F$84/(SUM('EARLY SEASON CROPS 1'!$G$7:$G$41)+SUM('MID SEASON CROPS 2'!$G$7:$G$41)+SUM('LATE SEASON CROPS 3'!$G$2:$G$37)))))</f>
        <v>0</v>
      </c>
    </row>
    <row r="39" spans="2:10" ht="18">
      <c r="B39" s="389" t="s">
        <v>224</v>
      </c>
      <c r="C39" s="499">
        <v>75</v>
      </c>
      <c r="D39" s="500">
        <f>'Direct Seeded Cost Sheet'!J29</f>
        <v>3</v>
      </c>
      <c r="E39" s="501">
        <f>'Sales Price Sheet'!D40</f>
        <v>1</v>
      </c>
      <c r="F39" s="501">
        <f t="shared" si="1"/>
        <v>225</v>
      </c>
      <c r="G39" s="502">
        <v>2</v>
      </c>
      <c r="H39" s="503">
        <f t="shared" si="0"/>
        <v>450</v>
      </c>
      <c r="I39" s="503">
        <f>IF(G39=0,0,((F39*G39)-('Market Garden Budget'!$F$84/(SUM('EARLY SEASON CROPS 1'!$G$7:$G$41)+SUM('MID SEASON CROPS 2'!$G$7:$G$41)+SUM('LATE SEASON CROPS 3'!$G$2:$G$37)))))</f>
        <v>178.04475556892146</v>
      </c>
    </row>
    <row r="40" spans="2:10" ht="18">
      <c r="B40" s="389" t="s">
        <v>225</v>
      </c>
      <c r="C40" s="499">
        <v>40</v>
      </c>
      <c r="D40" s="500">
        <f>'Direct Seeded Cost Sheet'!J30</f>
        <v>3</v>
      </c>
      <c r="E40" s="501">
        <f>'Sales Price Sheet'!D41</f>
        <v>1</v>
      </c>
      <c r="F40" s="501">
        <f t="shared" si="1"/>
        <v>120</v>
      </c>
      <c r="G40" s="502"/>
      <c r="H40" s="503">
        <f t="shared" si="0"/>
        <v>0</v>
      </c>
      <c r="I40" s="503">
        <f>IF(G40=0,0,((F40*G40)-('Market Garden Budget'!$F$84/(SUM('EARLY SEASON CROPS 1'!$G$7:$G$41)+SUM('MID SEASON CROPS 2'!$G$7:$G$41)+SUM('LATE SEASON CROPS 3'!$G$2:$G$37)))))</f>
        <v>0</v>
      </c>
    </row>
    <row r="41" spans="2:10" ht="18.75" thickBot="1">
      <c r="B41" s="393" t="s">
        <v>226</v>
      </c>
      <c r="C41" s="504">
        <v>50</v>
      </c>
      <c r="D41" s="505">
        <f>'Transplant Seed Cost Sheet'!I17</f>
        <v>1</v>
      </c>
      <c r="E41" s="506">
        <f>'Sales Price Sheet'!D42</f>
        <v>5</v>
      </c>
      <c r="F41" s="507">
        <f t="shared" si="1"/>
        <v>250</v>
      </c>
      <c r="G41" s="508"/>
      <c r="H41" s="509">
        <f t="shared" si="0"/>
        <v>0</v>
      </c>
      <c r="I41" s="509">
        <f>IF(G41=0,0,((F41*G41)-('Market Garden Budget'!$F$84/(SUM('EARLY SEASON CROPS 1'!$G$7:$G$41)+SUM('MID SEASON CROPS 2'!$G$7:$G$41)+SUM('LATE SEASON CROPS 3'!$G$2:$G$37)))))</f>
        <v>0</v>
      </c>
      <c r="J41" s="52" t="s">
        <v>554</v>
      </c>
    </row>
    <row r="42" spans="2:10" ht="21" thickTop="1">
      <c r="B42" s="510"/>
      <c r="C42" s="511"/>
      <c r="D42" s="511"/>
      <c r="E42" s="512"/>
      <c r="F42" s="513" t="s">
        <v>255</v>
      </c>
      <c r="G42" s="514">
        <f>SUM(G7:G41)</f>
        <v>17</v>
      </c>
      <c r="H42" s="513">
        <f>SUM(H7:H41)</f>
        <v>3750</v>
      </c>
      <c r="I42" s="515">
        <f>SUM(I7:I41)</f>
        <v>1574.3580445513721</v>
      </c>
    </row>
    <row r="43" spans="2:10">
      <c r="B43" s="235" t="s">
        <v>445</v>
      </c>
    </row>
    <row r="44" spans="2:10" ht="15">
      <c r="B44" s="236" t="s">
        <v>309</v>
      </c>
      <c r="C44" s="63"/>
      <c r="D44" s="63"/>
      <c r="E44" s="64"/>
      <c r="F44" s="64"/>
      <c r="G44" s="64"/>
      <c r="H44" s="65"/>
    </row>
    <row r="45" spans="2:10" ht="15">
      <c r="B45" s="237" t="s">
        <v>332</v>
      </c>
      <c r="C45" s="67"/>
      <c r="D45" s="67"/>
      <c r="E45" s="67"/>
      <c r="F45" s="68"/>
      <c r="G45" s="67"/>
      <c r="H45" s="68"/>
    </row>
    <row r="46" spans="2:10" ht="15">
      <c r="B46" s="45"/>
      <c r="D46" s="63"/>
      <c r="E46" s="64"/>
      <c r="F46" s="64"/>
      <c r="G46" s="64"/>
      <c r="H46" s="65"/>
    </row>
    <row r="47" spans="2:10" ht="15">
      <c r="C47" s="63"/>
      <c r="D47" s="67"/>
      <c r="E47" s="67"/>
      <c r="F47" s="68"/>
      <c r="G47" s="67"/>
      <c r="H47" s="68"/>
    </row>
    <row r="48" spans="2:10" ht="15">
      <c r="B48" s="69" t="s">
        <v>192</v>
      </c>
      <c r="C48" s="63"/>
      <c r="D48" s="67"/>
      <c r="E48" s="67"/>
      <c r="F48" s="68"/>
      <c r="G48" s="67"/>
      <c r="H48" s="68"/>
    </row>
    <row r="49" spans="2:8" ht="15.75">
      <c r="B49" s="57" t="s">
        <v>195</v>
      </c>
      <c r="C49" s="70" t="s">
        <v>194</v>
      </c>
      <c r="D49" s="67"/>
      <c r="E49" s="67"/>
      <c r="F49" s="68"/>
      <c r="G49" s="67"/>
      <c r="H49" s="68"/>
    </row>
    <row r="50" spans="2:8" ht="15.75">
      <c r="B50" s="57" t="s">
        <v>307</v>
      </c>
      <c r="C50" s="70" t="s">
        <v>206</v>
      </c>
      <c r="D50" s="67"/>
      <c r="E50" s="67"/>
      <c r="F50" s="68"/>
      <c r="G50" s="67"/>
      <c r="H50" s="68"/>
    </row>
    <row r="51" spans="2:8" ht="15.75">
      <c r="B51" s="57" t="s">
        <v>352</v>
      </c>
      <c r="C51" s="70" t="s">
        <v>349</v>
      </c>
      <c r="D51" s="67"/>
      <c r="E51" s="67"/>
      <c r="G51" s="67"/>
    </row>
    <row r="52" spans="2:8" ht="15.75">
      <c r="B52" s="57" t="s">
        <v>351</v>
      </c>
      <c r="C52" s="70" t="s">
        <v>350</v>
      </c>
      <c r="D52" s="67"/>
      <c r="E52" s="67"/>
      <c r="G52" s="67"/>
    </row>
    <row r="53" spans="2:8" ht="15">
      <c r="B53" s="66" t="s">
        <v>393</v>
      </c>
      <c r="C53" s="71" t="s">
        <v>353</v>
      </c>
      <c r="D53" s="67"/>
      <c r="E53" s="67"/>
      <c r="G53" s="67"/>
    </row>
    <row r="54" spans="2:8" ht="15">
      <c r="D54" s="67"/>
      <c r="E54" s="67"/>
      <c r="F54" s="68"/>
      <c r="G54" s="67"/>
      <c r="H54" s="68"/>
    </row>
    <row r="55" spans="2:8" ht="15.75">
      <c r="B55" s="57" t="s">
        <v>308</v>
      </c>
      <c r="C55" s="70" t="s">
        <v>208</v>
      </c>
      <c r="D55" s="67"/>
      <c r="E55" s="67"/>
      <c r="G55" s="67"/>
    </row>
    <row r="56" spans="2:8" ht="15.75">
      <c r="B56" s="57"/>
      <c r="C56" s="70"/>
      <c r="D56" s="67"/>
      <c r="E56" s="67"/>
      <c r="G56" s="67"/>
    </row>
    <row r="57" spans="2:8" ht="15">
      <c r="C57" s="71"/>
      <c r="D57" s="67"/>
      <c r="E57" s="67"/>
      <c r="G57" s="67"/>
    </row>
    <row r="58" spans="2:8" ht="15">
      <c r="C58" s="70"/>
      <c r="D58" s="67"/>
      <c r="E58" s="67"/>
      <c r="G58" s="67"/>
    </row>
    <row r="59" spans="2:8" ht="15.75">
      <c r="B59" s="57"/>
      <c r="C59" s="70"/>
      <c r="D59" s="67"/>
      <c r="E59" s="67"/>
      <c r="G59" s="67"/>
    </row>
    <row r="60" spans="2:8" ht="15">
      <c r="C60" s="70"/>
      <c r="D60" s="67"/>
      <c r="E60" s="67"/>
      <c r="G60" s="67"/>
    </row>
    <row r="61" spans="2:8" ht="15">
      <c r="C61" s="70"/>
      <c r="D61" s="67"/>
      <c r="E61" s="67"/>
      <c r="G61" s="67"/>
    </row>
    <row r="62" spans="2:8" ht="15">
      <c r="C62" s="70"/>
      <c r="D62" s="67"/>
      <c r="E62" s="67"/>
      <c r="G62" s="67"/>
    </row>
    <row r="63" spans="2:8" ht="15">
      <c r="C63" s="70"/>
      <c r="D63" s="67"/>
      <c r="E63" s="67"/>
      <c r="G63" s="67"/>
    </row>
    <row r="64" spans="2:8" ht="15">
      <c r="C64" s="67"/>
      <c r="D64" s="67"/>
      <c r="E64" s="67"/>
      <c r="G64" s="67"/>
    </row>
    <row r="65" spans="3:7" ht="15">
      <c r="C65" s="67"/>
      <c r="D65" s="67"/>
      <c r="E65" s="67"/>
      <c r="G65" s="67"/>
    </row>
    <row r="66" spans="3:7" ht="15">
      <c r="C66" s="67"/>
      <c r="D66" s="67"/>
      <c r="E66" s="67"/>
      <c r="G66" s="67"/>
    </row>
    <row r="67" spans="3:7" ht="15">
      <c r="C67" s="67"/>
      <c r="D67" s="67"/>
      <c r="E67" s="67"/>
      <c r="G67" s="67"/>
    </row>
    <row r="68" spans="3:7" ht="15">
      <c r="C68" s="67"/>
      <c r="D68" s="67"/>
      <c r="E68" s="67"/>
      <c r="G68" s="67"/>
    </row>
    <row r="69" spans="3:7" ht="15">
      <c r="C69" s="67"/>
      <c r="D69" s="67"/>
      <c r="E69" s="67"/>
      <c r="G69" s="67"/>
    </row>
  </sheetData>
  <dataValidations count="1">
    <dataValidation type="whole" operator="greaterThanOrEqual" allowBlank="1" showInputMessage="1" showErrorMessage="1" sqref="C7:C41 G7:G41">
      <formula1>0</formula1>
    </dataValidation>
  </dataValidations>
  <hyperlinks>
    <hyperlink ref="C50" r:id="rId1"/>
    <hyperlink ref="C53" r:id="rId2"/>
    <hyperlink ref="C52" r:id="rId3"/>
    <hyperlink ref="C51" r:id="rId4"/>
    <hyperlink ref="B3" location="'Market Garden Budget'!A1" display="return to budget page"/>
  </hyperlinks>
  <pageMargins left="0.7" right="0.7" top="0.75" bottom="0.75" header="0.3" footer="0.3"/>
  <pageSetup scale="46" orientation="landscape"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6"/>
  <sheetViews>
    <sheetView zoomScale="70" zoomScaleNormal="70" workbookViewId="0">
      <selection activeCell="F13" sqref="F13"/>
    </sheetView>
  </sheetViews>
  <sheetFormatPr defaultRowHeight="14.25"/>
  <cols>
    <col min="1" max="1" width="7" style="147" customWidth="1"/>
    <col min="2" max="2" width="49.5703125" style="147" customWidth="1"/>
    <col min="3" max="9" width="23.5703125" style="147" customWidth="1"/>
    <col min="10" max="11" width="9.28515625" style="147" bestFit="1" customWidth="1"/>
    <col min="12" max="14" width="11.42578125" style="147" bestFit="1" customWidth="1"/>
    <col min="15" max="16384" width="9.140625" style="147"/>
  </cols>
  <sheetData>
    <row r="2" spans="2:9" ht="17.25" customHeight="1">
      <c r="C2" s="241"/>
      <c r="D2" s="241"/>
      <c r="E2" s="241"/>
      <c r="F2" s="241"/>
      <c r="G2" s="241"/>
      <c r="H2" s="241"/>
      <c r="I2" s="241"/>
    </row>
    <row r="3" spans="2:9" ht="33" customHeight="1">
      <c r="B3" s="383" t="s">
        <v>533</v>
      </c>
      <c r="C3" s="383"/>
      <c r="D3" s="383"/>
      <c r="E3" s="383"/>
      <c r="F3" s="383"/>
      <c r="G3" s="383"/>
      <c r="H3" s="383"/>
      <c r="I3" s="383"/>
    </row>
    <row r="4" spans="2:9" ht="18" customHeight="1">
      <c r="B4" s="384" t="s">
        <v>552</v>
      </c>
      <c r="C4" s="383"/>
      <c r="D4" s="383"/>
      <c r="E4" s="383"/>
      <c r="F4" s="383"/>
      <c r="G4" s="383"/>
      <c r="H4" s="383"/>
      <c r="I4" s="383"/>
    </row>
    <row r="5" spans="2:9" ht="18" customHeight="1">
      <c r="B5" s="242"/>
      <c r="C5" s="242"/>
      <c r="D5" s="242"/>
      <c r="E5" s="242"/>
      <c r="F5" s="242"/>
      <c r="G5" s="242"/>
      <c r="H5" s="242"/>
      <c r="I5" s="242"/>
    </row>
    <row r="6" spans="2:9" ht="21" thickBot="1">
      <c r="B6" s="280" t="s">
        <v>228</v>
      </c>
      <c r="C6" s="268"/>
      <c r="D6" s="269"/>
      <c r="H6" s="241"/>
      <c r="I6" s="241"/>
    </row>
    <row r="7" spans="2:9" ht="18" customHeight="1">
      <c r="B7" s="281" t="s">
        <v>321</v>
      </c>
      <c r="C7" s="317">
        <v>5</v>
      </c>
      <c r="D7" s="269"/>
      <c r="H7" s="241"/>
      <c r="I7" s="241"/>
    </row>
    <row r="8" spans="2:9" ht="18">
      <c r="B8" s="282" t="s">
        <v>322</v>
      </c>
      <c r="C8" s="318">
        <v>100</v>
      </c>
      <c r="D8" s="269"/>
      <c r="H8" s="241"/>
      <c r="I8" s="241"/>
    </row>
    <row r="9" spans="2:9" ht="18.75" thickBot="1">
      <c r="B9" s="282" t="s">
        <v>230</v>
      </c>
      <c r="C9" s="363">
        <v>1</v>
      </c>
      <c r="D9" s="269"/>
      <c r="H9" s="241"/>
      <c r="I9" s="241"/>
    </row>
    <row r="10" spans="2:9" ht="18">
      <c r="B10" s="277" t="s">
        <v>231</v>
      </c>
      <c r="C10" s="294">
        <f>43560/C7</f>
        <v>8712</v>
      </c>
      <c r="D10" s="269"/>
      <c r="H10" s="241"/>
      <c r="I10" s="241"/>
    </row>
    <row r="11" spans="2:9" ht="18">
      <c r="B11" s="364" t="s">
        <v>232</v>
      </c>
      <c r="C11" s="365">
        <f>C10/C8</f>
        <v>87.12</v>
      </c>
      <c r="D11" s="269"/>
      <c r="H11" s="241"/>
      <c r="I11" s="241"/>
    </row>
    <row r="12" spans="2:9" ht="18" customHeight="1">
      <c r="B12" s="308"/>
      <c r="C12" s="274"/>
      <c r="D12" s="269"/>
      <c r="H12" s="241"/>
      <c r="I12" s="241"/>
    </row>
    <row r="13" spans="2:9" ht="18" customHeight="1">
      <c r="B13" s="308"/>
      <c r="C13" s="274"/>
      <c r="D13" s="269"/>
      <c r="H13" s="241"/>
      <c r="I13" s="241"/>
    </row>
    <row r="14" spans="2:9" ht="20.25">
      <c r="B14" s="280" t="s">
        <v>319</v>
      </c>
      <c r="C14" s="268"/>
      <c r="D14" s="268"/>
      <c r="E14" s="273"/>
      <c r="F14" s="274"/>
      <c r="G14" s="275"/>
      <c r="H14" s="241"/>
      <c r="I14" s="241"/>
    </row>
    <row r="15" spans="2:9" ht="36.75" thickBot="1">
      <c r="B15" s="270" t="s">
        <v>320</v>
      </c>
      <c r="C15" s="271" t="s">
        <v>267</v>
      </c>
      <c r="D15" s="272" t="s">
        <v>229</v>
      </c>
      <c r="E15" s="273"/>
      <c r="F15" s="274"/>
      <c r="G15" s="275"/>
      <c r="H15" s="241"/>
      <c r="I15" s="241"/>
    </row>
    <row r="16" spans="2:9" ht="18">
      <c r="B16" s="317">
        <v>0.22</v>
      </c>
      <c r="C16" s="283">
        <f>(6788/(B16*($C$10/100)))/60</f>
        <v>5.9026908200461916</v>
      </c>
      <c r="D16" s="284">
        <f>($C$10/100)*B16</f>
        <v>19.166399999999999</v>
      </c>
      <c r="E16" s="273"/>
      <c r="F16" s="274"/>
      <c r="G16" s="275"/>
      <c r="H16" s="241"/>
      <c r="I16" s="241"/>
    </row>
    <row r="17" spans="2:9" ht="18">
      <c r="B17" s="318">
        <v>0.34</v>
      </c>
      <c r="C17" s="285">
        <f>(6788/(B17*($C$10/100)))/60</f>
        <v>3.8193881776769474</v>
      </c>
      <c r="D17" s="286">
        <f>($C$10/100)*B17</f>
        <v>29.620800000000003</v>
      </c>
      <c r="E17" s="273"/>
      <c r="F17" s="274"/>
      <c r="G17" s="275"/>
      <c r="H17" s="241"/>
      <c r="I17" s="241"/>
    </row>
    <row r="18" spans="2:9" ht="18">
      <c r="B18" s="318">
        <v>0.45</v>
      </c>
      <c r="C18" s="285">
        <f>(6788/(B18*($C$10/100)))/60</f>
        <v>2.8857599564670271</v>
      </c>
      <c r="D18" s="286">
        <f>($C$10/100)*B18</f>
        <v>39.204000000000001</v>
      </c>
      <c r="E18" s="273"/>
      <c r="F18" s="274"/>
      <c r="G18" s="275"/>
      <c r="H18" s="241"/>
      <c r="I18" s="241"/>
    </row>
    <row r="19" spans="2:9" ht="18.75" thickBot="1">
      <c r="B19" s="319">
        <v>0.67</v>
      </c>
      <c r="C19" s="287">
        <f>(6788/(B19*($C$10/100)))/60</f>
        <v>1.9381969856868091</v>
      </c>
      <c r="D19" s="288">
        <f>($C$10/100)*B19</f>
        <v>58.370400000000004</v>
      </c>
      <c r="E19" s="273"/>
      <c r="F19" s="274"/>
      <c r="G19" s="275"/>
      <c r="H19" s="241"/>
      <c r="I19" s="241"/>
    </row>
    <row r="20" spans="2:9" ht="18" customHeight="1">
      <c r="B20" s="294"/>
      <c r="C20" s="309"/>
      <c r="D20" s="286"/>
      <c r="E20" s="273"/>
      <c r="F20" s="274"/>
      <c r="G20" s="275"/>
      <c r="H20" s="241"/>
      <c r="I20" s="241"/>
    </row>
    <row r="21" spans="2:9" ht="18" customHeight="1">
      <c r="B21" s="294"/>
      <c r="C21" s="309"/>
      <c r="D21" s="286"/>
      <c r="E21" s="273"/>
      <c r="F21" s="274"/>
      <c r="G21" s="275"/>
      <c r="H21" s="241"/>
      <c r="I21" s="241"/>
    </row>
    <row r="22" spans="2:9" ht="18">
      <c r="B22" s="276" t="s">
        <v>233</v>
      </c>
      <c r="C22" s="277"/>
      <c r="D22" s="277"/>
      <c r="E22" s="277"/>
      <c r="F22" s="269"/>
      <c r="G22" s="269"/>
      <c r="H22" s="241"/>
      <c r="I22" s="241"/>
    </row>
    <row r="23" spans="2:9" ht="18.75" thickBot="1">
      <c r="B23" s="276" t="s">
        <v>234</v>
      </c>
      <c r="C23" s="278" t="s">
        <v>235</v>
      </c>
      <c r="D23" s="278" t="s">
        <v>236</v>
      </c>
      <c r="E23" s="278" t="s">
        <v>237</v>
      </c>
      <c r="F23" s="274"/>
      <c r="G23" s="275"/>
      <c r="H23" s="241"/>
      <c r="I23" s="241"/>
    </row>
    <row r="24" spans="2:9" ht="18">
      <c r="B24" s="248" t="s">
        <v>238</v>
      </c>
      <c r="C24" s="320" t="s">
        <v>239</v>
      </c>
      <c r="D24" s="321">
        <v>7500</v>
      </c>
      <c r="E24" s="322">
        <v>300</v>
      </c>
      <c r="F24" s="594"/>
      <c r="G24" s="279"/>
    </row>
    <row r="25" spans="2:9" ht="18.75" thickBot="1">
      <c r="B25" s="249" t="s">
        <v>323</v>
      </c>
      <c r="C25" s="323" t="s">
        <v>240</v>
      </c>
      <c r="D25" s="324">
        <v>300</v>
      </c>
      <c r="E25" s="325">
        <v>240</v>
      </c>
      <c r="F25" s="595"/>
      <c r="G25" s="269"/>
      <c r="H25" s="241"/>
      <c r="I25" s="241"/>
    </row>
    <row r="26" spans="2:9" ht="18" customHeight="1">
      <c r="E26" s="244"/>
      <c r="F26" s="245"/>
      <c r="G26" s="246"/>
      <c r="H26" s="241"/>
      <c r="I26" s="241"/>
    </row>
    <row r="27" spans="2:9" ht="18" customHeight="1">
      <c r="E27" s="244"/>
      <c r="F27" s="245"/>
      <c r="G27" s="246"/>
      <c r="H27" s="241"/>
      <c r="I27" s="241"/>
    </row>
    <row r="28" spans="2:9" ht="23.25">
      <c r="B28" s="250" t="s">
        <v>241</v>
      </c>
      <c r="C28" s="251"/>
      <c r="D28" s="251"/>
      <c r="E28" s="251"/>
      <c r="F28" s="251"/>
      <c r="G28" s="251"/>
      <c r="H28" s="251"/>
      <c r="I28" s="251"/>
    </row>
    <row r="29" spans="2:9" ht="41.25" thickBot="1">
      <c r="B29" s="252" t="s">
        <v>242</v>
      </c>
      <c r="C29" s="253" t="s">
        <v>162</v>
      </c>
      <c r="D29" s="253" t="s">
        <v>243</v>
      </c>
      <c r="E29" s="253" t="s">
        <v>244</v>
      </c>
      <c r="F29" s="253" t="s">
        <v>245</v>
      </c>
      <c r="G29" s="253" t="s">
        <v>168</v>
      </c>
      <c r="H29" s="253" t="s">
        <v>246</v>
      </c>
      <c r="I29" s="253" t="s">
        <v>247</v>
      </c>
    </row>
    <row r="30" spans="2:9" ht="18.75" thickBot="1">
      <c r="B30" s="254" t="s">
        <v>324</v>
      </c>
      <c r="C30" s="255" t="s">
        <v>249</v>
      </c>
      <c r="D30" s="256">
        <f>E25/D25</f>
        <v>0.8</v>
      </c>
      <c r="E30" s="257">
        <f>C11*C7+50</f>
        <v>485.6</v>
      </c>
      <c r="F30" s="317">
        <v>5</v>
      </c>
      <c r="G30" s="258">
        <f>D30*E30*C9</f>
        <v>388.48</v>
      </c>
      <c r="H30" s="258">
        <f>G30/F30</f>
        <v>77.695999999999998</v>
      </c>
      <c r="I30" s="258">
        <f>H30/$C$9</f>
        <v>77.695999999999998</v>
      </c>
    </row>
    <row r="31" spans="2:9" ht="18.75" thickBot="1">
      <c r="B31" s="254" t="s">
        <v>250</v>
      </c>
      <c r="C31" s="255" t="s">
        <v>251</v>
      </c>
      <c r="D31" s="596">
        <v>1.8</v>
      </c>
      <c r="E31" s="257">
        <f>C11</f>
        <v>87.12</v>
      </c>
      <c r="F31" s="318">
        <v>5</v>
      </c>
      <c r="G31" s="258">
        <f>D31*E31*C9</f>
        <v>156.816</v>
      </c>
      <c r="H31" s="258">
        <f>G31/F31</f>
        <v>31.363199999999999</v>
      </c>
      <c r="I31" s="258">
        <f>H31/$C$9</f>
        <v>31.363199999999999</v>
      </c>
    </row>
    <row r="32" spans="2:9" ht="18">
      <c r="B32" s="254" t="s">
        <v>252</v>
      </c>
      <c r="C32" s="255" t="s">
        <v>546</v>
      </c>
      <c r="D32" s="597">
        <v>350</v>
      </c>
      <c r="E32" s="320">
        <v>1</v>
      </c>
      <c r="F32" s="318">
        <v>5</v>
      </c>
      <c r="G32" s="258">
        <f>D32*E32</f>
        <v>350</v>
      </c>
      <c r="H32" s="258">
        <f>G32/F32</f>
        <v>70</v>
      </c>
      <c r="I32" s="258">
        <f>H32/$C$9</f>
        <v>70</v>
      </c>
    </row>
    <row r="33" spans="2:10" ht="18.75" thickBot="1">
      <c r="B33" s="254" t="s">
        <v>547</v>
      </c>
      <c r="C33" s="255" t="s">
        <v>546</v>
      </c>
      <c r="D33" s="598">
        <v>0</v>
      </c>
      <c r="E33" s="599">
        <v>1</v>
      </c>
      <c r="F33" s="319">
        <v>10</v>
      </c>
      <c r="G33" s="258">
        <f>D33*E33</f>
        <v>0</v>
      </c>
      <c r="H33" s="258">
        <f>G33/F33</f>
        <v>0</v>
      </c>
      <c r="I33" s="258">
        <f>H33/$C$9</f>
        <v>0</v>
      </c>
    </row>
    <row r="34" spans="2:10" ht="18.75" thickBot="1">
      <c r="B34" s="259" t="s">
        <v>253</v>
      </c>
      <c r="C34" s="260" t="s">
        <v>254</v>
      </c>
      <c r="D34" s="261">
        <f>Labor!D5</f>
        <v>9</v>
      </c>
      <c r="E34" s="319">
        <v>0</v>
      </c>
      <c r="F34" s="260"/>
      <c r="G34" s="262">
        <f>D34*E34</f>
        <v>0</v>
      </c>
      <c r="H34" s="262">
        <f>G34</f>
        <v>0</v>
      </c>
      <c r="I34" s="262">
        <f>H34/$C$9</f>
        <v>0</v>
      </c>
    </row>
    <row r="35" spans="2:10" ht="20.25">
      <c r="B35" s="263" t="s">
        <v>255</v>
      </c>
      <c r="C35" s="247"/>
      <c r="D35" s="264"/>
      <c r="E35" s="247"/>
      <c r="F35" s="247"/>
      <c r="G35" s="264">
        <f>SUM(G31:G33)</f>
        <v>506.81600000000003</v>
      </c>
      <c r="H35" s="264">
        <f>SUM(H31:H33)</f>
        <v>101.36320000000001</v>
      </c>
      <c r="I35" s="264">
        <f>SUM(I31:I33)</f>
        <v>101.36320000000001</v>
      </c>
    </row>
    <row r="36" spans="2:10" ht="30" customHeight="1">
      <c r="B36" s="619" t="s">
        <v>548</v>
      </c>
      <c r="C36" s="619"/>
      <c r="D36" s="619"/>
      <c r="E36" s="619"/>
      <c r="F36" s="619"/>
      <c r="G36" s="619"/>
      <c r="H36" s="619"/>
      <c r="I36" s="619"/>
    </row>
    <row r="37" spans="2:10">
      <c r="B37" s="265"/>
      <c r="C37" s="243"/>
      <c r="D37" s="266"/>
      <c r="E37" s="243"/>
      <c r="F37" s="243"/>
      <c r="G37" s="266"/>
      <c r="H37" s="266"/>
      <c r="I37" s="266"/>
    </row>
    <row r="38" spans="2:10" ht="18">
      <c r="C38" s="277"/>
      <c r="D38" s="277"/>
      <c r="E38" s="289"/>
      <c r="F38" s="277"/>
      <c r="G38" s="277"/>
      <c r="H38" s="277"/>
      <c r="I38" s="290"/>
      <c r="J38" s="279"/>
    </row>
    <row r="39" spans="2:10" ht="18">
      <c r="B39" s="276" t="s">
        <v>534</v>
      </c>
      <c r="C39" s="277"/>
      <c r="D39" s="277"/>
      <c r="E39" s="289"/>
      <c r="F39" s="277"/>
      <c r="G39" s="277"/>
      <c r="H39" s="277"/>
      <c r="I39" s="290"/>
      <c r="J39" s="279"/>
    </row>
    <row r="40" spans="2:10" ht="41.25" thickBot="1">
      <c r="B40" s="252" t="s">
        <v>242</v>
      </c>
      <c r="C40" s="253" t="s">
        <v>162</v>
      </c>
      <c r="D40" s="253" t="s">
        <v>243</v>
      </c>
      <c r="E40" s="253" t="s">
        <v>244</v>
      </c>
      <c r="F40" s="253" t="s">
        <v>245</v>
      </c>
      <c r="G40" s="253" t="s">
        <v>168</v>
      </c>
      <c r="H40" s="253" t="s">
        <v>246</v>
      </c>
      <c r="I40" s="253" t="s">
        <v>247</v>
      </c>
      <c r="J40" s="279"/>
    </row>
    <row r="41" spans="2:10" ht="18.75" thickBot="1">
      <c r="B41" s="310" t="s">
        <v>248</v>
      </c>
      <c r="C41" s="311" t="s">
        <v>249</v>
      </c>
      <c r="D41" s="312">
        <f>E24/D24</f>
        <v>0.04</v>
      </c>
      <c r="E41" s="313">
        <f>C10</f>
        <v>8712</v>
      </c>
      <c r="F41" s="311">
        <v>1</v>
      </c>
      <c r="G41" s="314">
        <f>D41*E41*C9</f>
        <v>348.48</v>
      </c>
      <c r="H41" s="314">
        <f>G41/F41</f>
        <v>348.48</v>
      </c>
      <c r="I41" s="314">
        <f>H41/$C$9</f>
        <v>348.48</v>
      </c>
      <c r="J41" s="279"/>
    </row>
    <row r="42" spans="2:10" ht="18">
      <c r="B42" s="267" t="s">
        <v>544</v>
      </c>
      <c r="F42" s="241"/>
      <c r="J42" s="279"/>
    </row>
    <row r="43" spans="2:10" ht="18">
      <c r="B43" s="276"/>
      <c r="C43" s="277"/>
      <c r="D43" s="277"/>
      <c r="E43" s="289"/>
      <c r="F43" s="277"/>
      <c r="G43" s="277"/>
      <c r="H43" s="277"/>
      <c r="I43" s="290"/>
      <c r="J43" s="279"/>
    </row>
    <row r="44" spans="2:10" ht="72.75" thickBot="1">
      <c r="B44" s="291" t="s">
        <v>234</v>
      </c>
      <c r="C44" s="292" t="s">
        <v>257</v>
      </c>
      <c r="D44" s="292" t="s">
        <v>268</v>
      </c>
      <c r="E44" s="292" t="s">
        <v>258</v>
      </c>
      <c r="F44" s="292" t="s">
        <v>269</v>
      </c>
      <c r="G44" s="292" t="s">
        <v>246</v>
      </c>
      <c r="H44" s="292" t="s">
        <v>259</v>
      </c>
      <c r="I44" s="269"/>
      <c r="J44" s="279"/>
    </row>
    <row r="45" spans="2:10" ht="18.75" thickBot="1">
      <c r="B45" s="273" t="s">
        <v>260</v>
      </c>
      <c r="C45" s="368">
        <v>0</v>
      </c>
      <c r="D45" s="369">
        <v>32000</v>
      </c>
      <c r="E45" s="367">
        <v>8</v>
      </c>
      <c r="F45" s="294">
        <f>E45*27154*C9</f>
        <v>217232</v>
      </c>
      <c r="G45" s="293">
        <f>(F45/D45)*C45</f>
        <v>0</v>
      </c>
      <c r="H45" s="293">
        <f>G45/C9</f>
        <v>0</v>
      </c>
      <c r="I45" s="269"/>
      <c r="J45" s="279"/>
    </row>
    <row r="46" spans="2:10" ht="18.75" thickBot="1">
      <c r="B46" s="295"/>
      <c r="C46" s="296" t="s">
        <v>261</v>
      </c>
      <c r="D46" s="296" t="s">
        <v>262</v>
      </c>
      <c r="E46" s="297"/>
      <c r="F46" s="273"/>
      <c r="G46" s="273"/>
      <c r="H46" s="273"/>
      <c r="I46" s="269"/>
      <c r="J46" s="279"/>
    </row>
    <row r="47" spans="2:10" ht="18.75" thickBot="1">
      <c r="B47" s="298" t="s">
        <v>263</v>
      </c>
      <c r="C47" s="299">
        <f>Labor!D5</f>
        <v>9</v>
      </c>
      <c r="D47" s="600">
        <v>0</v>
      </c>
      <c r="E47" s="300"/>
      <c r="F47" s="298"/>
      <c r="G47" s="299">
        <f>C47*D47</f>
        <v>0</v>
      </c>
      <c r="H47" s="299">
        <f>G47/C9</f>
        <v>0</v>
      </c>
      <c r="I47" s="269"/>
      <c r="J47" s="279"/>
    </row>
    <row r="48" spans="2:10" ht="18">
      <c r="B48" s="301" t="s">
        <v>255</v>
      </c>
      <c r="C48" s="277"/>
      <c r="D48" s="302"/>
      <c r="E48" s="277"/>
      <c r="F48" s="277"/>
      <c r="G48" s="302">
        <f>SUM(G45:G47)</f>
        <v>0</v>
      </c>
      <c r="H48" s="302">
        <f>SUM(H45:H47)</f>
        <v>0</v>
      </c>
      <c r="I48" s="269"/>
      <c r="J48" s="279"/>
    </row>
    <row r="49" spans="2:10" ht="18">
      <c r="B49" s="273"/>
      <c r="C49" s="293"/>
      <c r="D49" s="294"/>
      <c r="E49" s="297"/>
      <c r="F49" s="273"/>
      <c r="G49" s="273"/>
      <c r="H49" s="293"/>
      <c r="I49" s="303"/>
      <c r="J49" s="279"/>
    </row>
    <row r="50" spans="2:10" ht="18.75" thickBot="1">
      <c r="B50" s="304"/>
      <c r="C50" s="304" t="s">
        <v>163</v>
      </c>
      <c r="D50" s="304" t="s">
        <v>264</v>
      </c>
      <c r="E50" s="304" t="s">
        <v>265</v>
      </c>
      <c r="F50" s="273"/>
      <c r="G50" s="273"/>
      <c r="H50" s="273"/>
      <c r="I50" s="269"/>
      <c r="J50" s="279"/>
    </row>
    <row r="51" spans="2:10" ht="18">
      <c r="B51" s="277" t="s">
        <v>266</v>
      </c>
      <c r="C51" s="305">
        <f>H35</f>
        <v>101.36320000000001</v>
      </c>
      <c r="D51" s="305">
        <f>I35</f>
        <v>101.36320000000001</v>
      </c>
      <c r="E51" s="305">
        <f>I35/E45</f>
        <v>12.670400000000001</v>
      </c>
      <c r="F51" s="273"/>
      <c r="G51" s="273"/>
      <c r="H51" s="273"/>
      <c r="I51" s="269"/>
      <c r="J51" s="279"/>
    </row>
    <row r="52" spans="2:10" ht="18.75" thickBot="1">
      <c r="B52" s="304" t="s">
        <v>256</v>
      </c>
      <c r="C52" s="306">
        <f>G48</f>
        <v>0</v>
      </c>
      <c r="D52" s="306">
        <f>H48</f>
        <v>0</v>
      </c>
      <c r="E52" s="306">
        <f>H48/E45</f>
        <v>0</v>
      </c>
      <c r="F52" s="273"/>
      <c r="G52" s="273"/>
      <c r="H52" s="273"/>
      <c r="I52" s="269"/>
      <c r="J52" s="279"/>
    </row>
    <row r="53" spans="2:10" ht="18">
      <c r="B53" s="276" t="s">
        <v>246</v>
      </c>
      <c r="C53" s="307">
        <f>C51+C52</f>
        <v>101.36320000000001</v>
      </c>
      <c r="D53" s="307">
        <f>D51+D52</f>
        <v>101.36320000000001</v>
      </c>
      <c r="E53" s="307">
        <f>E51+E52</f>
        <v>12.670400000000001</v>
      </c>
      <c r="F53" s="273"/>
      <c r="G53" s="273"/>
      <c r="H53" s="273"/>
      <c r="I53" s="269"/>
      <c r="J53" s="279"/>
    </row>
    <row r="54" spans="2:10" ht="18">
      <c r="B54" s="279"/>
      <c r="C54" s="279"/>
      <c r="D54" s="279"/>
      <c r="E54" s="279"/>
      <c r="F54" s="279"/>
      <c r="G54" s="279"/>
      <c r="H54" s="279"/>
      <c r="I54" s="279"/>
      <c r="J54" s="279"/>
    </row>
    <row r="55" spans="2:10" ht="18">
      <c r="B55" s="316" t="s">
        <v>394</v>
      </c>
      <c r="C55" s="279"/>
      <c r="D55" s="279"/>
      <c r="E55" s="279"/>
      <c r="F55" s="279"/>
      <c r="G55" s="279"/>
      <c r="H55" s="279"/>
      <c r="I55" s="279"/>
      <c r="J55" s="279"/>
    </row>
    <row r="56" spans="2:10" ht="15">
      <c r="B56" s="315" t="s">
        <v>535</v>
      </c>
    </row>
  </sheetData>
  <mergeCells count="1">
    <mergeCell ref="B36:I36"/>
  </mergeCells>
  <dataValidations count="1">
    <dataValidation type="whole" operator="greaterThanOrEqual" allowBlank="1" showInputMessage="1" showErrorMessage="1" sqref="C24:C25 A1 C7:C9 B16:B19 D24:E25 D31:D33 F30:F33 E32:E34 C45:E45 D47">
      <formula1>0</formula1>
    </dataValidation>
  </dataValidations>
  <hyperlinks>
    <hyperlink ref="B55" r:id="rId1"/>
    <hyperlink ref="B41:I41" location="'Market Garden Budget'!A1" display="Drip Tape"/>
    <hyperlink ref="B56" r:id="rId2" display="Inches of Rainfall is an average assumption based on average irrigation needs in North Carolina to learn more about how to calculate your farms irrigation needs visit: https://www.bae.ncsu.edu/topic/irrigation_society/info/NC_Irrigation_Guide_Apr_2010.pdf"/>
    <hyperlink ref="B4" location="'Market Garden Budget'!A1" display="return to budget page"/>
  </hyperlinks>
  <pageMargins left="0.7" right="0.7" top="0.75" bottom="0.75" header="0.3" footer="0.3"/>
  <pageSetup scale="40" orientation="landscape" r:id="rId3"/>
  <colBreaks count="1" manualBreakCount="1">
    <brk id="9" max="1048575" man="1"/>
  </colBreaks>
  <ignoredErrors>
    <ignoredError sqref="C1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B1" zoomScale="70" zoomScaleNormal="70" workbookViewId="0">
      <selection activeCell="J19" sqref="J19"/>
    </sheetView>
  </sheetViews>
  <sheetFormatPr defaultRowHeight="15"/>
  <cols>
    <col min="1" max="1" width="14.5703125" customWidth="1"/>
    <col min="2" max="2" width="2.5703125" customWidth="1"/>
    <col min="3" max="3" width="14" customWidth="1"/>
    <col min="4" max="4" width="71.85546875" customWidth="1"/>
    <col min="5" max="5" width="6.7109375" customWidth="1"/>
    <col min="6" max="6" width="6.85546875" customWidth="1"/>
    <col min="7" max="7" width="71.85546875" customWidth="1"/>
    <col min="8" max="8" width="3.140625" customWidth="1"/>
    <col min="11" max="11" width="18.28515625" customWidth="1"/>
    <col min="13" max="13" width="16.85546875" customWidth="1"/>
  </cols>
  <sheetData>
    <row r="1" spans="1:14" ht="15" customHeight="1">
      <c r="A1" s="622" t="s">
        <v>606</v>
      </c>
      <c r="B1" s="622"/>
      <c r="C1" s="622"/>
      <c r="D1" s="622"/>
      <c r="E1" s="622"/>
      <c r="F1" s="622"/>
      <c r="G1" s="622"/>
      <c r="H1" s="622"/>
    </row>
    <row r="2" spans="1:14" ht="15" customHeight="1">
      <c r="A2" s="622"/>
      <c r="B2" s="622"/>
      <c r="C2" s="622"/>
      <c r="D2" s="622"/>
      <c r="E2" s="622"/>
      <c r="F2" s="622"/>
      <c r="G2" s="622"/>
      <c r="H2" s="622"/>
    </row>
    <row r="3" spans="1:14">
      <c r="A3" s="620"/>
      <c r="B3" s="620"/>
      <c r="C3" s="620"/>
      <c r="D3" s="13" t="s">
        <v>315</v>
      </c>
      <c r="E3" s="621" t="s">
        <v>199</v>
      </c>
      <c r="F3" s="621"/>
      <c r="G3" s="13" t="s">
        <v>315</v>
      </c>
      <c r="H3" s="13"/>
    </row>
    <row r="4" spans="1:14">
      <c r="A4" s="24"/>
      <c r="B4" s="13"/>
      <c r="C4" s="15" t="s">
        <v>148</v>
      </c>
      <c r="D4" s="33"/>
      <c r="E4" s="24" t="s">
        <v>215</v>
      </c>
      <c r="F4" s="28">
        <v>1</v>
      </c>
      <c r="G4" s="37"/>
      <c r="H4" s="13"/>
    </row>
    <row r="5" spans="1:14">
      <c r="A5" s="27"/>
      <c r="B5" s="13"/>
      <c r="C5" s="15" t="s">
        <v>148</v>
      </c>
      <c r="D5" s="34"/>
      <c r="E5" s="13"/>
      <c r="F5" s="15" t="s">
        <v>148</v>
      </c>
      <c r="G5" s="39"/>
      <c r="H5" s="13"/>
    </row>
    <row r="6" spans="1:14">
      <c r="A6" s="27"/>
      <c r="B6" s="13"/>
      <c r="C6" s="15" t="s">
        <v>148</v>
      </c>
      <c r="D6" s="34"/>
      <c r="E6" s="13"/>
      <c r="F6" s="15" t="s">
        <v>148</v>
      </c>
      <c r="G6" s="39"/>
      <c r="H6" s="13"/>
    </row>
    <row r="7" spans="1:14">
      <c r="A7" s="27"/>
      <c r="B7" s="13"/>
      <c r="C7" s="15" t="s">
        <v>148</v>
      </c>
      <c r="D7" s="34"/>
      <c r="E7" s="13"/>
      <c r="F7" s="15" t="s">
        <v>148</v>
      </c>
      <c r="G7" s="39"/>
      <c r="H7" s="13"/>
    </row>
    <row r="8" spans="1:14">
      <c r="A8" s="27" t="s">
        <v>211</v>
      </c>
      <c r="B8" s="13"/>
      <c r="C8" s="15" t="s">
        <v>148</v>
      </c>
      <c r="D8" s="34"/>
      <c r="E8" s="13"/>
      <c r="F8" s="15" t="s">
        <v>148</v>
      </c>
      <c r="G8" s="39"/>
      <c r="H8" s="13"/>
      <c r="I8" s="47" t="s">
        <v>388</v>
      </c>
      <c r="J8" s="33"/>
      <c r="K8" s="33"/>
      <c r="L8" s="33"/>
      <c r="M8" s="33"/>
    </row>
    <row r="9" spans="1:14">
      <c r="A9" s="27"/>
      <c r="B9" s="13"/>
      <c r="C9" s="15" t="s">
        <v>148</v>
      </c>
      <c r="D9" s="34"/>
      <c r="E9" s="13"/>
      <c r="F9" s="15" t="s">
        <v>148</v>
      </c>
      <c r="G9" s="39"/>
      <c r="H9" s="13"/>
      <c r="I9" s="35" t="s">
        <v>382</v>
      </c>
      <c r="J9" s="33"/>
      <c r="K9" s="33"/>
      <c r="L9" s="33"/>
      <c r="M9" s="33"/>
    </row>
    <row r="10" spans="1:14">
      <c r="A10" s="27"/>
      <c r="B10" s="13"/>
      <c r="C10" s="15" t="s">
        <v>148</v>
      </c>
      <c r="D10" s="34"/>
      <c r="E10" s="13"/>
      <c r="F10" s="15" t="s">
        <v>148</v>
      </c>
      <c r="G10" s="39"/>
      <c r="H10" s="13"/>
      <c r="I10" s="36" t="s">
        <v>389</v>
      </c>
      <c r="J10" s="37"/>
      <c r="K10" s="37"/>
      <c r="L10" s="37"/>
      <c r="M10" s="37"/>
    </row>
    <row r="11" spans="1:14">
      <c r="A11" s="27"/>
      <c r="B11" s="13"/>
      <c r="C11" s="15" t="s">
        <v>148</v>
      </c>
      <c r="D11" s="34"/>
      <c r="E11" s="13"/>
      <c r="F11" s="15" t="s">
        <v>148</v>
      </c>
      <c r="G11" s="39"/>
      <c r="H11" s="13"/>
      <c r="I11" s="41" t="s">
        <v>386</v>
      </c>
      <c r="J11" s="29"/>
      <c r="K11" s="29"/>
      <c r="L11" s="29"/>
      <c r="M11" s="29"/>
    </row>
    <row r="12" spans="1:14">
      <c r="A12" s="27"/>
      <c r="B12" s="13"/>
      <c r="C12" s="15" t="s">
        <v>148</v>
      </c>
      <c r="D12" s="34"/>
      <c r="E12" s="13"/>
      <c r="F12" s="15" t="s">
        <v>148</v>
      </c>
      <c r="G12" s="39"/>
      <c r="H12" s="13"/>
      <c r="I12" s="42" t="s">
        <v>384</v>
      </c>
      <c r="J12" s="31"/>
      <c r="K12" s="31"/>
      <c r="L12" s="31"/>
      <c r="M12" s="31"/>
    </row>
    <row r="13" spans="1:14">
      <c r="A13" s="24"/>
      <c r="B13" s="13"/>
      <c r="C13" s="15" t="s">
        <v>148</v>
      </c>
      <c r="D13" s="34"/>
      <c r="E13" s="13"/>
      <c r="F13" s="15" t="s">
        <v>148</v>
      </c>
      <c r="G13" s="39"/>
      <c r="H13" s="13"/>
      <c r="I13" s="42" t="s">
        <v>383</v>
      </c>
      <c r="J13" s="31"/>
      <c r="K13" s="31"/>
      <c r="L13" s="31"/>
      <c r="M13" s="31"/>
    </row>
    <row r="14" spans="1:14">
      <c r="A14" s="27"/>
      <c r="B14" s="13"/>
      <c r="C14" s="15" t="s">
        <v>148</v>
      </c>
      <c r="D14" s="33"/>
      <c r="E14" s="24" t="s">
        <v>215</v>
      </c>
      <c r="F14" s="28">
        <v>2</v>
      </c>
      <c r="G14" s="37"/>
      <c r="H14" s="13"/>
      <c r="I14" s="48" t="s">
        <v>385</v>
      </c>
    </row>
    <row r="15" spans="1:14">
      <c r="A15" s="27"/>
      <c r="B15" s="13"/>
      <c r="C15" s="15" t="s">
        <v>148</v>
      </c>
      <c r="D15" s="46"/>
      <c r="E15" s="13"/>
      <c r="F15" s="15" t="s">
        <v>148</v>
      </c>
      <c r="G15" s="38"/>
      <c r="H15" s="13"/>
      <c r="I15" s="20" t="s">
        <v>387</v>
      </c>
      <c r="N15" s="44"/>
    </row>
    <row r="16" spans="1:14">
      <c r="A16" s="27"/>
      <c r="B16" s="13"/>
      <c r="C16" s="15" t="s">
        <v>148</v>
      </c>
      <c r="D16" s="34"/>
      <c r="E16" s="13"/>
      <c r="F16" s="15" t="s">
        <v>148</v>
      </c>
      <c r="G16" s="39"/>
      <c r="H16" s="13"/>
      <c r="N16" s="44"/>
    </row>
    <row r="17" spans="1:13">
      <c r="A17" s="27"/>
      <c r="B17" s="13"/>
      <c r="C17" s="15" t="s">
        <v>148</v>
      </c>
      <c r="D17" s="34"/>
      <c r="E17" s="13"/>
      <c r="F17" s="15" t="s">
        <v>148</v>
      </c>
      <c r="G17" s="39"/>
      <c r="H17" s="13"/>
      <c r="J17" s="44"/>
      <c r="K17" s="44"/>
      <c r="L17" s="44"/>
      <c r="M17" s="44"/>
    </row>
    <row r="18" spans="1:13">
      <c r="A18" s="27" t="s">
        <v>212</v>
      </c>
      <c r="B18" s="13"/>
      <c r="C18" s="15" t="s">
        <v>148</v>
      </c>
      <c r="D18" s="34"/>
      <c r="E18" s="13"/>
      <c r="F18" s="15" t="s">
        <v>148</v>
      </c>
      <c r="G18" s="39"/>
      <c r="H18" s="13"/>
    </row>
    <row r="19" spans="1:13">
      <c r="A19" s="27"/>
      <c r="B19" s="13"/>
      <c r="C19" s="15" t="s">
        <v>148</v>
      </c>
      <c r="D19" s="34"/>
      <c r="E19" s="13"/>
      <c r="F19" s="15" t="s">
        <v>148</v>
      </c>
      <c r="G19" s="39"/>
      <c r="H19" s="13"/>
    </row>
    <row r="20" spans="1:13">
      <c r="A20" s="27"/>
      <c r="B20" s="13"/>
      <c r="C20" s="15" t="s">
        <v>148</v>
      </c>
      <c r="D20" s="34"/>
      <c r="E20" s="13"/>
      <c r="F20" s="15" t="s">
        <v>148</v>
      </c>
      <c r="G20" s="39"/>
      <c r="H20" s="13"/>
    </row>
    <row r="21" spans="1:13">
      <c r="A21" s="27"/>
      <c r="B21" s="13"/>
      <c r="C21" s="15" t="s">
        <v>148</v>
      </c>
      <c r="D21" s="34"/>
      <c r="E21" s="13"/>
      <c r="F21" s="15" t="s">
        <v>148</v>
      </c>
      <c r="G21" s="39"/>
      <c r="H21" s="13"/>
    </row>
    <row r="22" spans="1:13">
      <c r="A22" s="27"/>
      <c r="B22" s="13"/>
      <c r="C22" s="15" t="s">
        <v>148</v>
      </c>
      <c r="D22" s="34"/>
      <c r="E22" s="13"/>
      <c r="F22" s="15" t="s">
        <v>148</v>
      </c>
      <c r="G22" s="39"/>
      <c r="H22" s="13"/>
    </row>
    <row r="23" spans="1:13">
      <c r="A23" s="27"/>
      <c r="B23" s="13"/>
      <c r="C23" s="15" t="s">
        <v>148</v>
      </c>
      <c r="D23" s="34"/>
      <c r="E23" s="13"/>
      <c r="F23" s="15" t="s">
        <v>148</v>
      </c>
      <c r="G23" s="39"/>
      <c r="H23" s="13"/>
    </row>
    <row r="24" spans="1:13">
      <c r="A24" s="27"/>
      <c r="B24" s="13"/>
      <c r="C24" s="15"/>
      <c r="D24" s="19"/>
      <c r="E24" s="13"/>
      <c r="F24" s="15"/>
      <c r="G24" s="19"/>
      <c r="H24" s="13"/>
    </row>
    <row r="25" spans="1:13" ht="44.25">
      <c r="A25" s="27"/>
      <c r="B25" s="13"/>
      <c r="C25" s="13" t="s">
        <v>170</v>
      </c>
      <c r="D25" s="19" t="s">
        <v>171</v>
      </c>
      <c r="E25" s="13"/>
      <c r="F25" s="13"/>
      <c r="G25" s="19" t="s">
        <v>171</v>
      </c>
      <c r="H25" s="13"/>
    </row>
    <row r="26" spans="1:13">
      <c r="A26" s="27"/>
      <c r="B26" s="13"/>
      <c r="C26" s="15" t="s">
        <v>148</v>
      </c>
      <c r="D26" s="31"/>
      <c r="E26" s="24" t="s">
        <v>216</v>
      </c>
      <c r="F26" s="28">
        <v>1</v>
      </c>
      <c r="G26" s="29"/>
      <c r="H26" s="13"/>
    </row>
    <row r="27" spans="1:13">
      <c r="A27" s="27"/>
      <c r="B27" s="13"/>
      <c r="C27" s="15" t="s">
        <v>148</v>
      </c>
      <c r="D27" s="31"/>
      <c r="E27" s="13"/>
      <c r="F27" s="15" t="s">
        <v>148</v>
      </c>
      <c r="G27" s="30"/>
      <c r="H27" s="13"/>
    </row>
    <row r="28" spans="1:13">
      <c r="A28" s="27"/>
      <c r="B28" s="13"/>
      <c r="C28" s="15" t="s">
        <v>148</v>
      </c>
      <c r="D28" s="32"/>
      <c r="E28" s="13"/>
      <c r="F28" s="15" t="s">
        <v>148</v>
      </c>
      <c r="G28" s="30"/>
      <c r="H28" s="13"/>
    </row>
    <row r="29" spans="1:13">
      <c r="A29" s="27"/>
      <c r="B29" s="13"/>
      <c r="C29" s="15" t="s">
        <v>148</v>
      </c>
      <c r="D29" s="32"/>
      <c r="E29" s="13"/>
      <c r="F29" s="15" t="s">
        <v>148</v>
      </c>
      <c r="G29" s="30"/>
      <c r="H29" s="13"/>
    </row>
    <row r="30" spans="1:13">
      <c r="A30" s="27" t="s">
        <v>214</v>
      </c>
      <c r="B30" s="13"/>
      <c r="C30" s="15" t="s">
        <v>148</v>
      </c>
      <c r="D30" s="32"/>
      <c r="E30" s="13"/>
      <c r="F30" s="15" t="s">
        <v>148</v>
      </c>
      <c r="G30" s="30"/>
      <c r="H30" s="13"/>
    </row>
    <row r="31" spans="1:13">
      <c r="A31" s="27"/>
      <c r="B31" s="13"/>
      <c r="C31" s="15" t="s">
        <v>148</v>
      </c>
      <c r="D31" s="32"/>
      <c r="E31" s="13"/>
      <c r="F31" s="15" t="s">
        <v>148</v>
      </c>
      <c r="G31" s="30"/>
      <c r="H31" s="13"/>
    </row>
    <row r="32" spans="1:13">
      <c r="A32" s="27"/>
      <c r="B32" s="13"/>
      <c r="C32" s="15" t="s">
        <v>148</v>
      </c>
      <c r="D32" s="32"/>
      <c r="E32" s="13"/>
      <c r="F32" s="15" t="s">
        <v>148</v>
      </c>
      <c r="G32" s="30"/>
      <c r="H32" s="13"/>
    </row>
    <row r="33" spans="1:8">
      <c r="A33" s="27"/>
      <c r="B33" s="13"/>
      <c r="C33" s="15" t="s">
        <v>148</v>
      </c>
      <c r="D33" s="32"/>
      <c r="E33" s="13"/>
      <c r="F33" s="15" t="s">
        <v>148</v>
      </c>
      <c r="G33" s="30"/>
      <c r="H33" s="13"/>
    </row>
    <row r="34" spans="1:8">
      <c r="A34" s="27"/>
      <c r="B34" s="13"/>
      <c r="C34" s="15" t="s">
        <v>148</v>
      </c>
      <c r="D34" s="43"/>
      <c r="E34" s="13"/>
      <c r="F34" s="15" t="s">
        <v>148</v>
      </c>
      <c r="G34" s="30"/>
      <c r="H34" s="13"/>
    </row>
    <row r="35" spans="1:8">
      <c r="A35" s="27"/>
      <c r="B35" s="13"/>
      <c r="C35" s="15" t="s">
        <v>148</v>
      </c>
      <c r="D35" s="43"/>
      <c r="E35" s="13"/>
      <c r="F35" s="15" t="s">
        <v>148</v>
      </c>
      <c r="G35" s="30"/>
      <c r="H35" s="13"/>
    </row>
    <row r="36" spans="1:8">
      <c r="A36" s="27"/>
      <c r="B36" s="13"/>
      <c r="C36" s="15" t="s">
        <v>148</v>
      </c>
      <c r="D36" s="31"/>
      <c r="E36" s="24" t="s">
        <v>216</v>
      </c>
      <c r="F36" s="28">
        <v>2</v>
      </c>
      <c r="G36" s="29"/>
      <c r="H36" s="13"/>
    </row>
    <row r="37" spans="1:8">
      <c r="A37" s="27"/>
      <c r="B37" s="13"/>
      <c r="C37" s="15" t="s">
        <v>148</v>
      </c>
      <c r="D37" s="49"/>
      <c r="E37" s="13"/>
      <c r="F37" s="15" t="s">
        <v>148</v>
      </c>
      <c r="G37" s="40"/>
      <c r="H37" s="13"/>
    </row>
    <row r="38" spans="1:8">
      <c r="A38" s="27"/>
      <c r="B38" s="13"/>
      <c r="C38" s="15" t="s">
        <v>148</v>
      </c>
      <c r="D38" s="32"/>
      <c r="E38" s="13"/>
      <c r="F38" s="15" t="s">
        <v>148</v>
      </c>
      <c r="G38" s="30"/>
      <c r="H38" s="13"/>
    </row>
    <row r="39" spans="1:8">
      <c r="A39" s="27"/>
      <c r="B39" s="13"/>
      <c r="C39" s="15" t="s">
        <v>148</v>
      </c>
      <c r="D39" s="32"/>
      <c r="E39" s="13"/>
      <c r="F39" s="15" t="s">
        <v>148</v>
      </c>
      <c r="G39" s="30"/>
      <c r="H39" s="13"/>
    </row>
    <row r="40" spans="1:8">
      <c r="A40" s="27" t="s">
        <v>213</v>
      </c>
      <c r="B40" s="13"/>
      <c r="C40" s="15" t="s">
        <v>148</v>
      </c>
      <c r="D40" s="32"/>
      <c r="E40" s="13"/>
      <c r="F40" s="15" t="s">
        <v>148</v>
      </c>
      <c r="G40" s="30"/>
      <c r="H40" s="13"/>
    </row>
    <row r="41" spans="1:8">
      <c r="A41" s="27"/>
      <c r="B41" s="13"/>
      <c r="C41" s="15" t="s">
        <v>148</v>
      </c>
      <c r="D41" s="32"/>
      <c r="E41" s="13"/>
      <c r="F41" s="15" t="s">
        <v>148</v>
      </c>
      <c r="G41" s="30"/>
      <c r="H41" s="13"/>
    </row>
    <row r="42" spans="1:8">
      <c r="A42" s="27"/>
      <c r="B42" s="13"/>
      <c r="C42" s="15" t="s">
        <v>148</v>
      </c>
      <c r="D42" s="32"/>
      <c r="E42" s="13"/>
      <c r="F42" s="15" t="s">
        <v>148</v>
      </c>
      <c r="G42" s="30"/>
      <c r="H42" s="13"/>
    </row>
    <row r="43" spans="1:8">
      <c r="A43" s="27"/>
      <c r="B43" s="13"/>
      <c r="C43" s="15" t="s">
        <v>148</v>
      </c>
      <c r="D43" s="32"/>
      <c r="E43" s="13"/>
      <c r="F43" s="15" t="s">
        <v>148</v>
      </c>
      <c r="G43" s="30"/>
      <c r="H43" s="13"/>
    </row>
    <row r="44" spans="1:8">
      <c r="A44" s="27"/>
      <c r="B44" s="13"/>
      <c r="C44" s="15" t="s">
        <v>148</v>
      </c>
      <c r="D44" s="32"/>
      <c r="E44" s="13"/>
      <c r="F44" s="15" t="s">
        <v>148</v>
      </c>
      <c r="G44" s="30"/>
      <c r="H44" s="13"/>
    </row>
    <row r="45" spans="1:8">
      <c r="A45" s="27"/>
      <c r="B45" s="13"/>
      <c r="C45" s="15" t="s">
        <v>148</v>
      </c>
      <c r="D45" s="32"/>
      <c r="E45" s="13"/>
      <c r="F45" s="15" t="s">
        <v>148</v>
      </c>
      <c r="G45" s="30"/>
      <c r="H45" s="13"/>
    </row>
    <row r="46" spans="1:8">
      <c r="A46" s="27"/>
      <c r="B46" s="13"/>
      <c r="C46" s="15"/>
      <c r="D46" s="19"/>
      <c r="E46" s="13"/>
      <c r="F46" s="15"/>
      <c r="G46" s="19"/>
      <c r="H46" s="13"/>
    </row>
    <row r="47" spans="1:8" ht="44.25">
      <c r="A47" s="27"/>
      <c r="B47" s="13"/>
      <c r="C47" s="13" t="s">
        <v>170</v>
      </c>
      <c r="D47" s="19" t="s">
        <v>171</v>
      </c>
      <c r="E47" s="13"/>
      <c r="F47" s="13" t="s">
        <v>170</v>
      </c>
      <c r="G47" s="19" t="s">
        <v>171</v>
      </c>
      <c r="H47" s="13"/>
    </row>
    <row r="48" spans="1:8">
      <c r="C48" s="17"/>
    </row>
  </sheetData>
  <mergeCells count="3">
    <mergeCell ref="A3:C3"/>
    <mergeCell ref="E3:F3"/>
    <mergeCell ref="A1:H2"/>
  </mergeCells>
  <pageMargins left="0.7" right="0.7" top="0.75" bottom="0.75" header="0.3" footer="0.3"/>
  <pageSetup scale="3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zoomScale="60" zoomScaleNormal="60" workbookViewId="0">
      <selection activeCell="F67" sqref="F67"/>
    </sheetView>
  </sheetViews>
  <sheetFormatPr defaultRowHeight="15"/>
  <cols>
    <col min="1" max="1" width="9.140625" style="14"/>
    <col min="2" max="2" width="2.5703125" style="14" customWidth="1"/>
    <col min="3" max="3" width="14" style="14" customWidth="1"/>
    <col min="4" max="4" width="71.85546875" style="14" customWidth="1"/>
    <col min="5" max="5" width="2.42578125" style="14" customWidth="1"/>
    <col min="6" max="6" width="9.28515625" style="14" customWidth="1"/>
    <col min="7" max="7" width="71.85546875" style="14" customWidth="1"/>
    <col min="8" max="8" width="3.140625" style="14" customWidth="1"/>
    <col min="9" max="9" width="4.42578125" style="14" customWidth="1"/>
    <col min="10" max="260" width="9.140625" style="14"/>
    <col min="261" max="261" width="71.85546875" style="14" customWidth="1"/>
    <col min="262" max="262" width="9.42578125" style="14" customWidth="1"/>
    <col min="263" max="263" width="72.140625" style="14" customWidth="1"/>
    <col min="264" max="516" width="9.140625" style="14"/>
    <col min="517" max="517" width="71.85546875" style="14" customWidth="1"/>
    <col min="518" max="518" width="9.42578125" style="14" customWidth="1"/>
    <col min="519" max="519" width="72.140625" style="14" customWidth="1"/>
    <col min="520" max="772" width="9.140625" style="14"/>
    <col min="773" max="773" width="71.85546875" style="14" customWidth="1"/>
    <col min="774" max="774" width="9.42578125" style="14" customWidth="1"/>
    <col min="775" max="775" width="72.140625" style="14" customWidth="1"/>
    <col min="776" max="1028" width="9.140625" style="14"/>
    <col min="1029" max="1029" width="71.85546875" style="14" customWidth="1"/>
    <col min="1030" max="1030" width="9.42578125" style="14" customWidth="1"/>
    <col min="1031" max="1031" width="72.140625" style="14" customWidth="1"/>
    <col min="1032" max="1284" width="9.140625" style="14"/>
    <col min="1285" max="1285" width="71.85546875" style="14" customWidth="1"/>
    <col min="1286" max="1286" width="9.42578125" style="14" customWidth="1"/>
    <col min="1287" max="1287" width="72.140625" style="14" customWidth="1"/>
    <col min="1288" max="1540" width="9.140625" style="14"/>
    <col min="1541" max="1541" width="71.85546875" style="14" customWidth="1"/>
    <col min="1542" max="1542" width="9.42578125" style="14" customWidth="1"/>
    <col min="1543" max="1543" width="72.140625" style="14" customWidth="1"/>
    <col min="1544" max="1796" width="9.140625" style="14"/>
    <col min="1797" max="1797" width="71.85546875" style="14" customWidth="1"/>
    <col min="1798" max="1798" width="9.42578125" style="14" customWidth="1"/>
    <col min="1799" max="1799" width="72.140625" style="14" customWidth="1"/>
    <col min="1800" max="2052" width="9.140625" style="14"/>
    <col min="2053" max="2053" width="71.85546875" style="14" customWidth="1"/>
    <col min="2054" max="2054" width="9.42578125" style="14" customWidth="1"/>
    <col min="2055" max="2055" width="72.140625" style="14" customWidth="1"/>
    <col min="2056" max="2308" width="9.140625" style="14"/>
    <col min="2309" max="2309" width="71.85546875" style="14" customWidth="1"/>
    <col min="2310" max="2310" width="9.42578125" style="14" customWidth="1"/>
    <col min="2311" max="2311" width="72.140625" style="14" customWidth="1"/>
    <col min="2312" max="2564" width="9.140625" style="14"/>
    <col min="2565" max="2565" width="71.85546875" style="14" customWidth="1"/>
    <col min="2566" max="2566" width="9.42578125" style="14" customWidth="1"/>
    <col min="2567" max="2567" width="72.140625" style="14" customWidth="1"/>
    <col min="2568" max="2820" width="9.140625" style="14"/>
    <col min="2821" max="2821" width="71.85546875" style="14" customWidth="1"/>
    <col min="2822" max="2822" width="9.42578125" style="14" customWidth="1"/>
    <col min="2823" max="2823" width="72.140625" style="14" customWidth="1"/>
    <col min="2824" max="3076" width="9.140625" style="14"/>
    <col min="3077" max="3077" width="71.85546875" style="14" customWidth="1"/>
    <col min="3078" max="3078" width="9.42578125" style="14" customWidth="1"/>
    <col min="3079" max="3079" width="72.140625" style="14" customWidth="1"/>
    <col min="3080" max="3332" width="9.140625" style="14"/>
    <col min="3333" max="3333" width="71.85546875" style="14" customWidth="1"/>
    <col min="3334" max="3334" width="9.42578125" style="14" customWidth="1"/>
    <col min="3335" max="3335" width="72.140625" style="14" customWidth="1"/>
    <col min="3336" max="3588" width="9.140625" style="14"/>
    <col min="3589" max="3589" width="71.85546875" style="14" customWidth="1"/>
    <col min="3590" max="3590" width="9.42578125" style="14" customWidth="1"/>
    <col min="3591" max="3591" width="72.140625" style="14" customWidth="1"/>
    <col min="3592" max="3844" width="9.140625" style="14"/>
    <col min="3845" max="3845" width="71.85546875" style="14" customWidth="1"/>
    <col min="3846" max="3846" width="9.42578125" style="14" customWidth="1"/>
    <col min="3847" max="3847" width="72.140625" style="14" customWidth="1"/>
    <col min="3848" max="4100" width="9.140625" style="14"/>
    <col min="4101" max="4101" width="71.85546875" style="14" customWidth="1"/>
    <col min="4102" max="4102" width="9.42578125" style="14" customWidth="1"/>
    <col min="4103" max="4103" width="72.140625" style="14" customWidth="1"/>
    <col min="4104" max="4356" width="9.140625" style="14"/>
    <col min="4357" max="4357" width="71.85546875" style="14" customWidth="1"/>
    <col min="4358" max="4358" width="9.42578125" style="14" customWidth="1"/>
    <col min="4359" max="4359" width="72.140625" style="14" customWidth="1"/>
    <col min="4360" max="4612" width="9.140625" style="14"/>
    <col min="4613" max="4613" width="71.85546875" style="14" customWidth="1"/>
    <col min="4614" max="4614" width="9.42578125" style="14" customWidth="1"/>
    <col min="4615" max="4615" width="72.140625" style="14" customWidth="1"/>
    <col min="4616" max="4868" width="9.140625" style="14"/>
    <col min="4869" max="4869" width="71.85546875" style="14" customWidth="1"/>
    <col min="4870" max="4870" width="9.42578125" style="14" customWidth="1"/>
    <col min="4871" max="4871" width="72.140625" style="14" customWidth="1"/>
    <col min="4872" max="5124" width="9.140625" style="14"/>
    <col min="5125" max="5125" width="71.85546875" style="14" customWidth="1"/>
    <col min="5126" max="5126" width="9.42578125" style="14" customWidth="1"/>
    <col min="5127" max="5127" width="72.140625" style="14" customWidth="1"/>
    <col min="5128" max="5380" width="9.140625" style="14"/>
    <col min="5381" max="5381" width="71.85546875" style="14" customWidth="1"/>
    <col min="5382" max="5382" width="9.42578125" style="14" customWidth="1"/>
    <col min="5383" max="5383" width="72.140625" style="14" customWidth="1"/>
    <col min="5384" max="5636" width="9.140625" style="14"/>
    <col min="5637" max="5637" width="71.85546875" style="14" customWidth="1"/>
    <col min="5638" max="5638" width="9.42578125" style="14" customWidth="1"/>
    <col min="5639" max="5639" width="72.140625" style="14" customWidth="1"/>
    <col min="5640" max="5892" width="9.140625" style="14"/>
    <col min="5893" max="5893" width="71.85546875" style="14" customWidth="1"/>
    <col min="5894" max="5894" width="9.42578125" style="14" customWidth="1"/>
    <col min="5895" max="5895" width="72.140625" style="14" customWidth="1"/>
    <col min="5896" max="6148" width="9.140625" style="14"/>
    <col min="6149" max="6149" width="71.85546875" style="14" customWidth="1"/>
    <col min="6150" max="6150" width="9.42578125" style="14" customWidth="1"/>
    <col min="6151" max="6151" width="72.140625" style="14" customWidth="1"/>
    <col min="6152" max="6404" width="9.140625" style="14"/>
    <col min="6405" max="6405" width="71.85546875" style="14" customWidth="1"/>
    <col min="6406" max="6406" width="9.42578125" style="14" customWidth="1"/>
    <col min="6407" max="6407" width="72.140625" style="14" customWidth="1"/>
    <col min="6408" max="6660" width="9.140625" style="14"/>
    <col min="6661" max="6661" width="71.85546875" style="14" customWidth="1"/>
    <col min="6662" max="6662" width="9.42578125" style="14" customWidth="1"/>
    <col min="6663" max="6663" width="72.140625" style="14" customWidth="1"/>
    <col min="6664" max="6916" width="9.140625" style="14"/>
    <col min="6917" max="6917" width="71.85546875" style="14" customWidth="1"/>
    <col min="6918" max="6918" width="9.42578125" style="14" customWidth="1"/>
    <col min="6919" max="6919" width="72.140625" style="14" customWidth="1"/>
    <col min="6920" max="7172" width="9.140625" style="14"/>
    <col min="7173" max="7173" width="71.85546875" style="14" customWidth="1"/>
    <col min="7174" max="7174" width="9.42578125" style="14" customWidth="1"/>
    <col min="7175" max="7175" width="72.140625" style="14" customWidth="1"/>
    <col min="7176" max="7428" width="9.140625" style="14"/>
    <col min="7429" max="7429" width="71.85546875" style="14" customWidth="1"/>
    <col min="7430" max="7430" width="9.42578125" style="14" customWidth="1"/>
    <col min="7431" max="7431" width="72.140625" style="14" customWidth="1"/>
    <col min="7432" max="7684" width="9.140625" style="14"/>
    <col min="7685" max="7685" width="71.85546875" style="14" customWidth="1"/>
    <col min="7686" max="7686" width="9.42578125" style="14" customWidth="1"/>
    <col min="7687" max="7687" width="72.140625" style="14" customWidth="1"/>
    <col min="7688" max="7940" width="9.140625" style="14"/>
    <col min="7941" max="7941" width="71.85546875" style="14" customWidth="1"/>
    <col min="7942" max="7942" width="9.42578125" style="14" customWidth="1"/>
    <col min="7943" max="7943" width="72.140625" style="14" customWidth="1"/>
    <col min="7944" max="8196" width="9.140625" style="14"/>
    <col min="8197" max="8197" width="71.85546875" style="14" customWidth="1"/>
    <col min="8198" max="8198" width="9.42578125" style="14" customWidth="1"/>
    <col min="8199" max="8199" width="72.140625" style="14" customWidth="1"/>
    <col min="8200" max="8452" width="9.140625" style="14"/>
    <col min="8453" max="8453" width="71.85546875" style="14" customWidth="1"/>
    <col min="8454" max="8454" width="9.42578125" style="14" customWidth="1"/>
    <col min="8455" max="8455" width="72.140625" style="14" customWidth="1"/>
    <col min="8456" max="8708" width="9.140625" style="14"/>
    <col min="8709" max="8709" width="71.85546875" style="14" customWidth="1"/>
    <col min="8710" max="8710" width="9.42578125" style="14" customWidth="1"/>
    <col min="8711" max="8711" width="72.140625" style="14" customWidth="1"/>
    <col min="8712" max="8964" width="9.140625" style="14"/>
    <col min="8965" max="8965" width="71.85546875" style="14" customWidth="1"/>
    <col min="8966" max="8966" width="9.42578125" style="14" customWidth="1"/>
    <col min="8967" max="8967" width="72.140625" style="14" customWidth="1"/>
    <col min="8968" max="9220" width="9.140625" style="14"/>
    <col min="9221" max="9221" width="71.85546875" style="14" customWidth="1"/>
    <col min="9222" max="9222" width="9.42578125" style="14" customWidth="1"/>
    <col min="9223" max="9223" width="72.140625" style="14" customWidth="1"/>
    <col min="9224" max="9476" width="9.140625" style="14"/>
    <col min="9477" max="9477" width="71.85546875" style="14" customWidth="1"/>
    <col min="9478" max="9478" width="9.42578125" style="14" customWidth="1"/>
    <col min="9479" max="9479" width="72.140625" style="14" customWidth="1"/>
    <col min="9480" max="9732" width="9.140625" style="14"/>
    <col min="9733" max="9733" width="71.85546875" style="14" customWidth="1"/>
    <col min="9734" max="9734" width="9.42578125" style="14" customWidth="1"/>
    <col min="9735" max="9735" width="72.140625" style="14" customWidth="1"/>
    <col min="9736" max="9988" width="9.140625" style="14"/>
    <col min="9989" max="9989" width="71.85546875" style="14" customWidth="1"/>
    <col min="9990" max="9990" width="9.42578125" style="14" customWidth="1"/>
    <col min="9991" max="9991" width="72.140625" style="14" customWidth="1"/>
    <col min="9992" max="10244" width="9.140625" style="14"/>
    <col min="10245" max="10245" width="71.85546875" style="14" customWidth="1"/>
    <col min="10246" max="10246" width="9.42578125" style="14" customWidth="1"/>
    <col min="10247" max="10247" width="72.140625" style="14" customWidth="1"/>
    <col min="10248" max="10500" width="9.140625" style="14"/>
    <col min="10501" max="10501" width="71.85546875" style="14" customWidth="1"/>
    <col min="10502" max="10502" width="9.42578125" style="14" customWidth="1"/>
    <col min="10503" max="10503" width="72.140625" style="14" customWidth="1"/>
    <col min="10504" max="10756" width="9.140625" style="14"/>
    <col min="10757" max="10757" width="71.85546875" style="14" customWidth="1"/>
    <col min="10758" max="10758" width="9.42578125" style="14" customWidth="1"/>
    <col min="10759" max="10759" width="72.140625" style="14" customWidth="1"/>
    <col min="10760" max="11012" width="9.140625" style="14"/>
    <col min="11013" max="11013" width="71.85546875" style="14" customWidth="1"/>
    <col min="11014" max="11014" width="9.42578125" style="14" customWidth="1"/>
    <col min="11015" max="11015" width="72.140625" style="14" customWidth="1"/>
    <col min="11016" max="11268" width="9.140625" style="14"/>
    <col min="11269" max="11269" width="71.85546875" style="14" customWidth="1"/>
    <col min="11270" max="11270" width="9.42578125" style="14" customWidth="1"/>
    <col min="11271" max="11271" width="72.140625" style="14" customWidth="1"/>
    <col min="11272" max="11524" width="9.140625" style="14"/>
    <col min="11525" max="11525" width="71.85546875" style="14" customWidth="1"/>
    <col min="11526" max="11526" width="9.42578125" style="14" customWidth="1"/>
    <col min="11527" max="11527" width="72.140625" style="14" customWidth="1"/>
    <col min="11528" max="11780" width="9.140625" style="14"/>
    <col min="11781" max="11781" width="71.85546875" style="14" customWidth="1"/>
    <col min="11782" max="11782" width="9.42578125" style="14" customWidth="1"/>
    <col min="11783" max="11783" width="72.140625" style="14" customWidth="1"/>
    <col min="11784" max="12036" width="9.140625" style="14"/>
    <col min="12037" max="12037" width="71.85546875" style="14" customWidth="1"/>
    <col min="12038" max="12038" width="9.42578125" style="14" customWidth="1"/>
    <col min="12039" max="12039" width="72.140625" style="14" customWidth="1"/>
    <col min="12040" max="12292" width="9.140625" style="14"/>
    <col min="12293" max="12293" width="71.85546875" style="14" customWidth="1"/>
    <col min="12294" max="12294" width="9.42578125" style="14" customWidth="1"/>
    <col min="12295" max="12295" width="72.140625" style="14" customWidth="1"/>
    <col min="12296" max="12548" width="9.140625" style="14"/>
    <col min="12549" max="12549" width="71.85546875" style="14" customWidth="1"/>
    <col min="12550" max="12550" width="9.42578125" style="14" customWidth="1"/>
    <col min="12551" max="12551" width="72.140625" style="14" customWidth="1"/>
    <col min="12552" max="12804" width="9.140625" style="14"/>
    <col min="12805" max="12805" width="71.85546875" style="14" customWidth="1"/>
    <col min="12806" max="12806" width="9.42578125" style="14" customWidth="1"/>
    <col min="12807" max="12807" width="72.140625" style="14" customWidth="1"/>
    <col min="12808" max="13060" width="9.140625" style="14"/>
    <col min="13061" max="13061" width="71.85546875" style="14" customWidth="1"/>
    <col min="13062" max="13062" width="9.42578125" style="14" customWidth="1"/>
    <col min="13063" max="13063" width="72.140625" style="14" customWidth="1"/>
    <col min="13064" max="13316" width="9.140625" style="14"/>
    <col min="13317" max="13317" width="71.85546875" style="14" customWidth="1"/>
    <col min="13318" max="13318" width="9.42578125" style="14" customWidth="1"/>
    <col min="13319" max="13319" width="72.140625" style="14" customWidth="1"/>
    <col min="13320" max="13572" width="9.140625" style="14"/>
    <col min="13573" max="13573" width="71.85546875" style="14" customWidth="1"/>
    <col min="13574" max="13574" width="9.42578125" style="14" customWidth="1"/>
    <col min="13575" max="13575" width="72.140625" style="14" customWidth="1"/>
    <col min="13576" max="13828" width="9.140625" style="14"/>
    <col min="13829" max="13829" width="71.85546875" style="14" customWidth="1"/>
    <col min="13830" max="13830" width="9.42578125" style="14" customWidth="1"/>
    <col min="13831" max="13831" width="72.140625" style="14" customWidth="1"/>
    <col min="13832" max="14084" width="9.140625" style="14"/>
    <col min="14085" max="14085" width="71.85546875" style="14" customWidth="1"/>
    <col min="14086" max="14086" width="9.42578125" style="14" customWidth="1"/>
    <col min="14087" max="14087" width="72.140625" style="14" customWidth="1"/>
    <col min="14088" max="14340" width="9.140625" style="14"/>
    <col min="14341" max="14341" width="71.85546875" style="14" customWidth="1"/>
    <col min="14342" max="14342" width="9.42578125" style="14" customWidth="1"/>
    <col min="14343" max="14343" width="72.140625" style="14" customWidth="1"/>
    <col min="14344" max="14596" width="9.140625" style="14"/>
    <col min="14597" max="14597" width="71.85546875" style="14" customWidth="1"/>
    <col min="14598" max="14598" width="9.42578125" style="14" customWidth="1"/>
    <col min="14599" max="14599" width="72.140625" style="14" customWidth="1"/>
    <col min="14600" max="14852" width="9.140625" style="14"/>
    <col min="14853" max="14853" width="71.85546875" style="14" customWidth="1"/>
    <col min="14854" max="14854" width="9.42578125" style="14" customWidth="1"/>
    <col min="14855" max="14855" width="72.140625" style="14" customWidth="1"/>
    <col min="14856" max="15108" width="9.140625" style="14"/>
    <col min="15109" max="15109" width="71.85546875" style="14" customWidth="1"/>
    <col min="15110" max="15110" width="9.42578125" style="14" customWidth="1"/>
    <col min="15111" max="15111" width="72.140625" style="14" customWidth="1"/>
    <col min="15112" max="15364" width="9.140625" style="14"/>
    <col min="15365" max="15365" width="71.85546875" style="14" customWidth="1"/>
    <col min="15366" max="15366" width="9.42578125" style="14" customWidth="1"/>
    <col min="15367" max="15367" width="72.140625" style="14" customWidth="1"/>
    <col min="15368" max="15620" width="9.140625" style="14"/>
    <col min="15621" max="15621" width="71.85546875" style="14" customWidth="1"/>
    <col min="15622" max="15622" width="9.42578125" style="14" customWidth="1"/>
    <col min="15623" max="15623" width="72.140625" style="14" customWidth="1"/>
    <col min="15624" max="15876" width="9.140625" style="14"/>
    <col min="15877" max="15877" width="71.85546875" style="14" customWidth="1"/>
    <col min="15878" max="15878" width="9.42578125" style="14" customWidth="1"/>
    <col min="15879" max="15879" width="72.140625" style="14" customWidth="1"/>
    <col min="15880" max="16132" width="9.140625" style="14"/>
    <col min="16133" max="16133" width="71.85546875" style="14" customWidth="1"/>
    <col min="16134" max="16134" width="9.42578125" style="14" customWidth="1"/>
    <col min="16135" max="16135" width="72.140625" style="14" customWidth="1"/>
    <col min="16136" max="16384" width="9.140625" style="14"/>
  </cols>
  <sheetData>
    <row r="1" spans="1:8">
      <c r="A1" s="620"/>
      <c r="B1" s="620"/>
      <c r="C1" s="620"/>
      <c r="D1" s="13" t="s">
        <v>315</v>
      </c>
      <c r="E1" s="621" t="s">
        <v>199</v>
      </c>
      <c r="F1" s="621"/>
      <c r="G1" s="13" t="s">
        <v>315</v>
      </c>
      <c r="H1" s="13"/>
    </row>
    <row r="2" spans="1:8">
      <c r="A2" s="26" t="s">
        <v>203</v>
      </c>
      <c r="B2" s="13"/>
      <c r="C2" s="15" t="s">
        <v>148</v>
      </c>
      <c r="D2" s="25" t="s">
        <v>316</v>
      </c>
      <c r="E2" s="13"/>
      <c r="F2" s="15" t="s">
        <v>148</v>
      </c>
      <c r="G2" s="21" t="s">
        <v>317</v>
      </c>
      <c r="H2" s="13"/>
    </row>
    <row r="3" spans="1:8">
      <c r="A3" s="13"/>
      <c r="B3" s="13"/>
      <c r="C3" s="15" t="s">
        <v>148</v>
      </c>
      <c r="E3" s="13"/>
      <c r="F3" s="15" t="s">
        <v>148</v>
      </c>
      <c r="H3" s="13"/>
    </row>
    <row r="4" spans="1:8">
      <c r="A4" s="13"/>
      <c r="B4" s="13"/>
      <c r="C4" s="15" t="s">
        <v>148</v>
      </c>
      <c r="E4" s="13"/>
      <c r="F4" s="15" t="s">
        <v>148</v>
      </c>
      <c r="H4" s="13"/>
    </row>
    <row r="5" spans="1:8">
      <c r="A5" s="13"/>
      <c r="B5" s="13"/>
      <c r="C5" s="15" t="s">
        <v>148</v>
      </c>
      <c r="E5" s="13"/>
      <c r="F5" s="15" t="s">
        <v>148</v>
      </c>
      <c r="H5" s="13"/>
    </row>
    <row r="6" spans="1:8">
      <c r="A6" s="13" t="s">
        <v>172</v>
      </c>
      <c r="B6" s="13"/>
      <c r="C6" s="15" t="s">
        <v>148</v>
      </c>
      <c r="E6" s="13"/>
      <c r="F6" s="15" t="s">
        <v>148</v>
      </c>
      <c r="H6" s="13"/>
    </row>
    <row r="7" spans="1:8">
      <c r="A7" s="13"/>
      <c r="B7" s="13"/>
      <c r="C7" s="15" t="s">
        <v>148</v>
      </c>
      <c r="E7" s="13"/>
      <c r="F7" s="15" t="s">
        <v>148</v>
      </c>
      <c r="H7" s="13"/>
    </row>
    <row r="8" spans="1:8">
      <c r="A8" s="13"/>
      <c r="B8" s="13"/>
      <c r="C8" s="15" t="s">
        <v>148</v>
      </c>
      <c r="E8" s="13"/>
      <c r="F8" s="15" t="s">
        <v>148</v>
      </c>
      <c r="H8" s="13"/>
    </row>
    <row r="9" spans="1:8">
      <c r="A9" s="13"/>
      <c r="B9" s="13"/>
      <c r="C9" s="15" t="s">
        <v>148</v>
      </c>
      <c r="E9" s="13"/>
      <c r="F9" s="15" t="s">
        <v>148</v>
      </c>
      <c r="H9" s="13"/>
    </row>
    <row r="10" spans="1:8">
      <c r="A10" s="13"/>
      <c r="B10" s="13"/>
      <c r="C10" s="15" t="s">
        <v>148</v>
      </c>
      <c r="E10" s="13"/>
      <c r="F10" s="15" t="s">
        <v>148</v>
      </c>
      <c r="H10" s="13"/>
    </row>
    <row r="11" spans="1:8">
      <c r="A11" s="13"/>
      <c r="B11" s="13"/>
      <c r="C11" s="15" t="s">
        <v>148</v>
      </c>
      <c r="E11" s="13"/>
      <c r="F11" s="15" t="s">
        <v>148</v>
      </c>
      <c r="H11" s="13"/>
    </row>
    <row r="12" spans="1:8">
      <c r="A12" s="13"/>
      <c r="B12" s="13"/>
      <c r="C12" s="15" t="s">
        <v>148</v>
      </c>
      <c r="D12" s="21" t="s">
        <v>174</v>
      </c>
      <c r="E12" s="13"/>
      <c r="F12" s="15" t="s">
        <v>148</v>
      </c>
      <c r="G12" s="21" t="s">
        <v>175</v>
      </c>
      <c r="H12" s="13"/>
    </row>
    <row r="13" spans="1:8">
      <c r="A13" s="13"/>
      <c r="B13" s="13"/>
      <c r="C13" s="15" t="s">
        <v>148</v>
      </c>
      <c r="D13" s="16"/>
      <c r="E13" s="13"/>
      <c r="F13" s="15" t="s">
        <v>148</v>
      </c>
      <c r="G13" s="16"/>
      <c r="H13" s="13"/>
    </row>
    <row r="14" spans="1:8">
      <c r="A14" s="13"/>
      <c r="B14" s="13"/>
      <c r="C14" s="15" t="s">
        <v>148</v>
      </c>
      <c r="E14" s="13"/>
      <c r="F14" s="15" t="s">
        <v>148</v>
      </c>
      <c r="H14" s="13"/>
    </row>
    <row r="15" spans="1:8">
      <c r="A15" s="13"/>
      <c r="B15" s="13"/>
      <c r="C15" s="15" t="s">
        <v>148</v>
      </c>
      <c r="E15" s="13"/>
      <c r="F15" s="15" t="s">
        <v>148</v>
      </c>
      <c r="H15" s="13"/>
    </row>
    <row r="16" spans="1:8">
      <c r="A16" s="13" t="s">
        <v>173</v>
      </c>
      <c r="B16" s="13"/>
      <c r="C16" s="15" t="s">
        <v>148</v>
      </c>
      <c r="E16" s="13"/>
      <c r="F16" s="15" t="s">
        <v>148</v>
      </c>
      <c r="H16" s="13"/>
    </row>
    <row r="17" spans="1:8">
      <c r="A17" s="13"/>
      <c r="B17" s="13"/>
      <c r="C17" s="15" t="s">
        <v>148</v>
      </c>
      <c r="E17" s="13"/>
      <c r="F17" s="15" t="s">
        <v>148</v>
      </c>
      <c r="H17" s="13"/>
    </row>
    <row r="18" spans="1:8">
      <c r="A18" s="13"/>
      <c r="B18" s="13"/>
      <c r="C18" s="15" t="s">
        <v>148</v>
      </c>
      <c r="E18" s="13"/>
      <c r="F18" s="15" t="s">
        <v>148</v>
      </c>
      <c r="H18" s="13"/>
    </row>
    <row r="19" spans="1:8">
      <c r="A19" s="13"/>
      <c r="B19" s="13"/>
      <c r="C19" s="15" t="s">
        <v>148</v>
      </c>
      <c r="E19" s="13"/>
      <c r="F19" s="15" t="s">
        <v>148</v>
      </c>
      <c r="H19" s="13"/>
    </row>
    <row r="20" spans="1:8">
      <c r="A20" s="13"/>
      <c r="B20" s="13"/>
      <c r="C20" s="15" t="s">
        <v>148</v>
      </c>
      <c r="E20" s="13"/>
      <c r="F20" s="15" t="s">
        <v>148</v>
      </c>
      <c r="H20" s="13"/>
    </row>
    <row r="21" spans="1:8">
      <c r="A21" s="13"/>
      <c r="B21" s="13"/>
      <c r="C21" s="15" t="s">
        <v>148</v>
      </c>
      <c r="E21" s="13"/>
      <c r="F21" s="15" t="s">
        <v>148</v>
      </c>
      <c r="H21" s="13"/>
    </row>
    <row r="22" spans="1:8" ht="11.25" customHeight="1">
      <c r="A22" s="13"/>
      <c r="B22" s="13"/>
      <c r="C22" s="15"/>
      <c r="D22" s="19" t="s">
        <v>149</v>
      </c>
      <c r="E22" s="13"/>
      <c r="F22" s="15"/>
      <c r="G22" s="19" t="s">
        <v>149</v>
      </c>
      <c r="H22" s="13"/>
    </row>
    <row r="23" spans="1:8" ht="27.75" customHeight="1">
      <c r="A23" s="13"/>
      <c r="B23" s="13"/>
      <c r="C23" s="13" t="s">
        <v>170</v>
      </c>
      <c r="D23" s="19" t="s">
        <v>171</v>
      </c>
      <c r="E23" s="13"/>
      <c r="F23" s="13"/>
      <c r="G23" s="19" t="s">
        <v>171</v>
      </c>
      <c r="H23" s="13"/>
    </row>
    <row r="24" spans="1:8">
      <c r="A24" s="13"/>
      <c r="B24" s="13"/>
      <c r="C24" s="15" t="s">
        <v>148</v>
      </c>
      <c r="D24" s="21" t="s">
        <v>314</v>
      </c>
      <c r="E24" s="13"/>
      <c r="F24" s="15" t="s">
        <v>148</v>
      </c>
      <c r="G24" s="21" t="s">
        <v>176</v>
      </c>
      <c r="H24" s="13"/>
    </row>
    <row r="25" spans="1:8">
      <c r="A25" s="13"/>
      <c r="B25" s="13"/>
      <c r="C25" s="15" t="s">
        <v>148</v>
      </c>
      <c r="D25" s="21" t="s">
        <v>179</v>
      </c>
      <c r="E25" s="13"/>
      <c r="F25" s="15" t="s">
        <v>148</v>
      </c>
      <c r="H25" s="13"/>
    </row>
    <row r="26" spans="1:8">
      <c r="A26" s="13"/>
      <c r="B26" s="13"/>
      <c r="C26" s="15" t="s">
        <v>148</v>
      </c>
      <c r="E26" s="13"/>
      <c r="F26" s="15" t="s">
        <v>148</v>
      </c>
      <c r="H26" s="13"/>
    </row>
    <row r="27" spans="1:8">
      <c r="A27" s="13"/>
      <c r="B27" s="13"/>
      <c r="C27" s="15" t="s">
        <v>148</v>
      </c>
      <c r="E27" s="13"/>
      <c r="F27" s="15" t="s">
        <v>148</v>
      </c>
      <c r="H27" s="13"/>
    </row>
    <row r="28" spans="1:8">
      <c r="A28" s="13" t="s">
        <v>172</v>
      </c>
      <c r="B28" s="13"/>
      <c r="C28" s="15" t="s">
        <v>148</v>
      </c>
      <c r="E28" s="13"/>
      <c r="F28" s="15" t="s">
        <v>148</v>
      </c>
      <c r="H28" s="13"/>
    </row>
    <row r="29" spans="1:8">
      <c r="A29" s="13"/>
      <c r="B29" s="13"/>
      <c r="C29" s="15" t="s">
        <v>148</v>
      </c>
      <c r="E29" s="13"/>
      <c r="F29" s="15" t="s">
        <v>148</v>
      </c>
      <c r="H29" s="13"/>
    </row>
    <row r="30" spans="1:8">
      <c r="A30" s="13"/>
      <c r="B30" s="13"/>
      <c r="C30" s="15" t="s">
        <v>148</v>
      </c>
      <c r="E30" s="13"/>
      <c r="F30" s="15" t="s">
        <v>148</v>
      </c>
      <c r="H30" s="13"/>
    </row>
    <row r="31" spans="1:8">
      <c r="A31" s="13"/>
      <c r="B31" s="13"/>
      <c r="C31" s="15" t="s">
        <v>148</v>
      </c>
      <c r="E31" s="13"/>
      <c r="F31" s="15" t="s">
        <v>148</v>
      </c>
      <c r="H31" s="13"/>
    </row>
    <row r="32" spans="1:8">
      <c r="A32" s="13"/>
      <c r="B32" s="13"/>
      <c r="C32" s="15" t="s">
        <v>148</v>
      </c>
      <c r="E32" s="13"/>
      <c r="F32" s="15" t="s">
        <v>148</v>
      </c>
      <c r="H32" s="13"/>
    </row>
    <row r="33" spans="1:9">
      <c r="A33" s="13"/>
      <c r="B33" s="13"/>
      <c r="C33" s="15" t="s">
        <v>148</v>
      </c>
      <c r="E33" s="13"/>
      <c r="F33" s="15" t="s">
        <v>148</v>
      </c>
      <c r="H33" s="13"/>
    </row>
    <row r="34" spans="1:9">
      <c r="A34" s="13"/>
      <c r="B34" s="13"/>
      <c r="C34" s="15" t="s">
        <v>148</v>
      </c>
      <c r="D34" s="23" t="s">
        <v>178</v>
      </c>
      <c r="E34" s="13"/>
      <c r="F34" s="15" t="s">
        <v>148</v>
      </c>
      <c r="G34" s="23" t="s">
        <v>177</v>
      </c>
      <c r="H34" s="13"/>
    </row>
    <row r="35" spans="1:9">
      <c r="A35" s="13"/>
      <c r="B35" s="13"/>
      <c r="C35" s="15" t="s">
        <v>148</v>
      </c>
      <c r="D35" s="16"/>
      <c r="E35" s="13"/>
      <c r="F35" s="15" t="s">
        <v>148</v>
      </c>
      <c r="G35" s="16"/>
      <c r="H35" s="13"/>
    </row>
    <row r="36" spans="1:9">
      <c r="A36" s="13"/>
      <c r="B36" s="13"/>
      <c r="C36" s="15" t="s">
        <v>148</v>
      </c>
      <c r="E36" s="13"/>
      <c r="F36" s="15" t="s">
        <v>148</v>
      </c>
      <c r="H36" s="13"/>
    </row>
    <row r="37" spans="1:9">
      <c r="A37" s="13"/>
      <c r="B37" s="13"/>
      <c r="C37" s="15" t="s">
        <v>148</v>
      </c>
      <c r="E37" s="13"/>
      <c r="F37" s="15" t="s">
        <v>148</v>
      </c>
      <c r="H37" s="13"/>
    </row>
    <row r="38" spans="1:9">
      <c r="A38" s="13" t="s">
        <v>173</v>
      </c>
      <c r="B38" s="13"/>
      <c r="C38" s="15" t="s">
        <v>148</v>
      </c>
      <c r="E38" s="13"/>
      <c r="F38" s="15" t="s">
        <v>148</v>
      </c>
      <c r="H38" s="13"/>
    </row>
    <row r="39" spans="1:9">
      <c r="A39" s="13"/>
      <c r="B39" s="13"/>
      <c r="C39" s="15" t="s">
        <v>148</v>
      </c>
      <c r="E39" s="13"/>
      <c r="F39" s="15" t="s">
        <v>148</v>
      </c>
      <c r="H39" s="13"/>
    </row>
    <row r="40" spans="1:9">
      <c r="A40" s="13"/>
      <c r="B40" s="13"/>
      <c r="C40" s="15" t="s">
        <v>148</v>
      </c>
      <c r="E40" s="13"/>
      <c r="F40" s="15" t="s">
        <v>148</v>
      </c>
      <c r="H40" s="13"/>
    </row>
    <row r="41" spans="1:9">
      <c r="A41" s="13"/>
      <c r="B41" s="13"/>
      <c r="C41" s="15" t="s">
        <v>148</v>
      </c>
      <c r="E41" s="13"/>
      <c r="F41" s="15" t="s">
        <v>148</v>
      </c>
      <c r="H41" s="13"/>
    </row>
    <row r="42" spans="1:9">
      <c r="A42" s="13"/>
      <c r="B42" s="13"/>
      <c r="C42" s="15" t="s">
        <v>148</v>
      </c>
      <c r="E42" s="13"/>
      <c r="F42" s="15" t="s">
        <v>148</v>
      </c>
      <c r="H42" s="13"/>
    </row>
    <row r="43" spans="1:9">
      <c r="A43" s="13"/>
      <c r="B43" s="13"/>
      <c r="C43" s="15" t="s">
        <v>148</v>
      </c>
      <c r="E43" s="13"/>
      <c r="F43" s="15" t="s">
        <v>148</v>
      </c>
      <c r="H43" s="13"/>
      <c r="I43" s="18"/>
    </row>
    <row r="44" spans="1:9" ht="11.25" customHeight="1">
      <c r="A44" s="13"/>
      <c r="B44" s="13"/>
      <c r="C44" s="15"/>
      <c r="D44" s="19" t="s">
        <v>150</v>
      </c>
      <c r="E44" s="13"/>
      <c r="F44" s="15"/>
      <c r="G44" s="19" t="s">
        <v>150</v>
      </c>
      <c r="H44" s="13"/>
    </row>
    <row r="45" spans="1:9" ht="27.75" customHeight="1">
      <c r="A45" s="13"/>
      <c r="B45" s="13"/>
      <c r="C45" s="13" t="s">
        <v>170</v>
      </c>
      <c r="D45" s="19" t="s">
        <v>171</v>
      </c>
      <c r="E45" s="13"/>
      <c r="F45" s="13" t="s">
        <v>170</v>
      </c>
      <c r="G45" s="19" t="s">
        <v>171</v>
      </c>
      <c r="H45" s="13"/>
    </row>
    <row r="47" spans="1:9">
      <c r="C47" s="22" t="s">
        <v>200</v>
      </c>
    </row>
    <row r="48" spans="1:9">
      <c r="C48" s="22" t="s">
        <v>201</v>
      </c>
    </row>
    <row r="49" spans="1:7">
      <c r="C49" s="22" t="s">
        <v>318</v>
      </c>
    </row>
    <row r="50" spans="1:7">
      <c r="C50" s="22" t="s">
        <v>202</v>
      </c>
    </row>
    <row r="53" spans="1:7">
      <c r="E53" s="14" t="s">
        <v>454</v>
      </c>
    </row>
    <row r="55" spans="1:7">
      <c r="E55" s="14" t="s">
        <v>186</v>
      </c>
    </row>
    <row r="60" spans="1:7">
      <c r="A60" s="625"/>
      <c r="B60" s="625"/>
      <c r="C60" s="625"/>
    </row>
    <row r="61" spans="1:7">
      <c r="A61" s="624"/>
      <c r="B61" s="624"/>
      <c r="C61" s="624"/>
      <c r="D61" s="624" t="s">
        <v>187</v>
      </c>
      <c r="E61" s="624"/>
      <c r="F61" s="624"/>
      <c r="G61" s="356"/>
    </row>
    <row r="62" spans="1:7">
      <c r="A62" s="623" t="s">
        <v>189</v>
      </c>
      <c r="B62" s="623"/>
      <c r="C62" s="623"/>
      <c r="D62" s="356" t="s">
        <v>188</v>
      </c>
      <c r="E62" s="356"/>
      <c r="F62" s="356"/>
      <c r="G62" s="356"/>
    </row>
    <row r="63" spans="1:7">
      <c r="A63" s="623" t="s">
        <v>190</v>
      </c>
      <c r="B63" s="623"/>
      <c r="C63" s="623"/>
      <c r="D63" s="356" t="s">
        <v>191</v>
      </c>
      <c r="E63" s="356"/>
      <c r="F63" s="356"/>
      <c r="G63" s="356"/>
    </row>
    <row r="64" spans="1:7">
      <c r="A64" s="623" t="s">
        <v>543</v>
      </c>
      <c r="B64" s="623"/>
      <c r="C64" s="623"/>
      <c r="D64" s="356" t="s">
        <v>196</v>
      </c>
      <c r="E64" s="356"/>
      <c r="F64" s="356"/>
      <c r="G64" s="356"/>
    </row>
    <row r="65" spans="1:7">
      <c r="A65" s="623"/>
      <c r="B65" s="623"/>
      <c r="C65" s="623"/>
      <c r="D65" s="356"/>
      <c r="E65" s="356"/>
      <c r="F65" s="356"/>
      <c r="G65" s="356"/>
    </row>
    <row r="66" spans="1:7">
      <c r="A66" s="623"/>
      <c r="B66" s="623"/>
      <c r="C66" s="623"/>
      <c r="D66" s="356"/>
      <c r="E66" s="356"/>
      <c r="F66" s="356"/>
      <c r="G66" s="356"/>
    </row>
    <row r="67" spans="1:7">
      <c r="A67" s="623"/>
      <c r="B67" s="623"/>
      <c r="C67" s="623"/>
      <c r="D67" s="356"/>
      <c r="E67" s="356"/>
      <c r="F67" s="356"/>
      <c r="G67" s="356"/>
    </row>
    <row r="68" spans="1:7">
      <c r="A68" s="623"/>
      <c r="B68" s="623"/>
      <c r="C68" s="623"/>
      <c r="D68" s="356"/>
      <c r="E68" s="356"/>
      <c r="F68" s="356"/>
      <c r="G68" s="356"/>
    </row>
    <row r="69" spans="1:7">
      <c r="A69" s="623"/>
      <c r="B69" s="623"/>
      <c r="C69" s="623"/>
      <c r="D69" s="356"/>
      <c r="E69" s="356"/>
      <c r="F69" s="356"/>
      <c r="G69" s="356"/>
    </row>
    <row r="70" spans="1:7">
      <c r="A70" s="623"/>
      <c r="B70" s="623"/>
      <c r="C70" s="623"/>
      <c r="D70" s="356"/>
      <c r="E70" s="356"/>
      <c r="F70" s="356"/>
      <c r="G70" s="356"/>
    </row>
    <row r="71" spans="1:7">
      <c r="A71" s="623"/>
      <c r="B71" s="623"/>
      <c r="C71" s="623"/>
      <c r="D71" s="356"/>
      <c r="E71" s="356"/>
      <c r="F71" s="356"/>
      <c r="G71" s="356"/>
    </row>
    <row r="72" spans="1:7">
      <c r="A72" s="623"/>
      <c r="B72" s="623"/>
      <c r="C72" s="623"/>
      <c r="D72" s="356"/>
      <c r="E72" s="356"/>
      <c r="F72" s="356"/>
      <c r="G72" s="356"/>
    </row>
    <row r="73" spans="1:7">
      <c r="A73" s="623"/>
      <c r="B73" s="623"/>
      <c r="C73" s="623"/>
      <c r="D73" s="356"/>
      <c r="E73" s="356"/>
      <c r="F73" s="356"/>
      <c r="G73" s="356"/>
    </row>
    <row r="74" spans="1:7">
      <c r="A74" s="623"/>
      <c r="B74" s="623"/>
      <c r="C74" s="623"/>
      <c r="D74" s="356"/>
      <c r="E74" s="356"/>
      <c r="F74" s="356"/>
      <c r="G74" s="356"/>
    </row>
    <row r="75" spans="1:7">
      <c r="A75" s="623"/>
      <c r="B75" s="623"/>
      <c r="C75" s="623"/>
      <c r="D75" s="356"/>
      <c r="E75" s="356"/>
      <c r="F75" s="356"/>
      <c r="G75" s="356"/>
    </row>
  </sheetData>
  <mergeCells count="19">
    <mergeCell ref="E1:F1"/>
    <mergeCell ref="A63:C63"/>
    <mergeCell ref="A62:C62"/>
    <mergeCell ref="A61:C61"/>
    <mergeCell ref="A69:C69"/>
    <mergeCell ref="A64:C64"/>
    <mergeCell ref="A65:C65"/>
    <mergeCell ref="A66:C66"/>
    <mergeCell ref="A67:C67"/>
    <mergeCell ref="A68:C68"/>
    <mergeCell ref="A60:C60"/>
    <mergeCell ref="A1:C1"/>
    <mergeCell ref="D61:F61"/>
    <mergeCell ref="A74:C74"/>
    <mergeCell ref="A75:C75"/>
    <mergeCell ref="A70:C70"/>
    <mergeCell ref="A71:C71"/>
    <mergeCell ref="A72:C72"/>
    <mergeCell ref="A73:C73"/>
  </mergeCells>
  <pageMargins left="0.7" right="0.7" top="0.75" bottom="0.75" header="0.3" footer="0.3"/>
  <pageSetup scale="4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3"/>
  <sheetViews>
    <sheetView topLeftCell="A19" zoomScaleNormal="100" workbookViewId="0">
      <selection activeCell="H19" sqref="H19"/>
    </sheetView>
  </sheetViews>
  <sheetFormatPr defaultRowHeight="15"/>
  <cols>
    <col min="2" max="2" width="25" customWidth="1"/>
    <col min="3" max="3" width="25.140625" customWidth="1"/>
    <col min="4" max="4" width="22.42578125" customWidth="1"/>
    <col min="5" max="5" width="21.42578125" customWidth="1"/>
  </cols>
  <sheetData>
    <row r="1" spans="2:5" ht="15.75" thickBot="1"/>
    <row r="2" spans="2:5" ht="30.75" thickBot="1">
      <c r="B2" s="3" t="s">
        <v>0</v>
      </c>
      <c r="C2" s="4" t="s">
        <v>1</v>
      </c>
      <c r="D2" s="4" t="s">
        <v>145</v>
      </c>
      <c r="E2" s="5" t="s">
        <v>146</v>
      </c>
    </row>
    <row r="3" spans="2:5" ht="16.5" thickTop="1" thickBot="1">
      <c r="B3" s="6" t="s">
        <v>2</v>
      </c>
      <c r="C3" s="1" t="s">
        <v>3</v>
      </c>
      <c r="D3" s="1">
        <v>214</v>
      </c>
      <c r="E3" s="7">
        <v>17</v>
      </c>
    </row>
    <row r="4" spans="2:5" ht="15.75" thickBot="1">
      <c r="B4" s="8" t="s">
        <v>4</v>
      </c>
      <c r="C4" s="2" t="s">
        <v>5</v>
      </c>
      <c r="D4" s="2">
        <v>221</v>
      </c>
      <c r="E4" s="9">
        <v>18</v>
      </c>
    </row>
    <row r="5" spans="2:5" ht="15.75" thickBot="1">
      <c r="B5" s="6" t="s">
        <v>6</v>
      </c>
      <c r="C5" s="1" t="s">
        <v>7</v>
      </c>
      <c r="D5" s="1">
        <v>139</v>
      </c>
      <c r="E5" s="7">
        <v>16</v>
      </c>
    </row>
    <row r="6" spans="2:5" ht="15.75" thickBot="1">
      <c r="B6" s="8" t="s">
        <v>8</v>
      </c>
      <c r="C6" s="2" t="s">
        <v>9</v>
      </c>
      <c r="D6" s="2">
        <v>143</v>
      </c>
      <c r="E6" s="9">
        <v>18</v>
      </c>
    </row>
    <row r="7" spans="2:5" ht="15.75" thickBot="1">
      <c r="B7" s="6" t="s">
        <v>10</v>
      </c>
      <c r="C7" s="1" t="s">
        <v>11</v>
      </c>
      <c r="D7" s="1">
        <v>238</v>
      </c>
      <c r="E7" s="7">
        <v>24</v>
      </c>
    </row>
    <row r="8" spans="2:5" ht="15.75" thickBot="1">
      <c r="B8" s="8" t="s">
        <v>12</v>
      </c>
      <c r="C8" s="2" t="s">
        <v>13</v>
      </c>
      <c r="D8" s="2">
        <v>197</v>
      </c>
      <c r="E8" s="9">
        <v>13</v>
      </c>
    </row>
    <row r="9" spans="2:5" ht="15.75" thickBot="1">
      <c r="B9" s="6" t="s">
        <v>14</v>
      </c>
      <c r="C9" s="1" t="s">
        <v>15</v>
      </c>
      <c r="D9" s="1">
        <v>173</v>
      </c>
      <c r="E9" s="7">
        <v>17</v>
      </c>
    </row>
    <row r="10" spans="2:5" ht="15.75" thickBot="1">
      <c r="B10" s="8" t="s">
        <v>14</v>
      </c>
      <c r="C10" s="2" t="s">
        <v>16</v>
      </c>
      <c r="D10" s="2">
        <v>157</v>
      </c>
      <c r="E10" s="9">
        <v>14</v>
      </c>
    </row>
    <row r="11" spans="2:5" ht="15.75" thickBot="1">
      <c r="B11" s="6" t="s">
        <v>14</v>
      </c>
      <c r="C11" s="1" t="s">
        <v>17</v>
      </c>
      <c r="D11" s="1">
        <v>182</v>
      </c>
      <c r="E11" s="7">
        <v>18</v>
      </c>
    </row>
    <row r="12" spans="2:5" ht="15.75" thickBot="1">
      <c r="B12" s="8" t="s">
        <v>18</v>
      </c>
      <c r="C12" s="2" t="s">
        <v>19</v>
      </c>
      <c r="D12" s="2">
        <v>180</v>
      </c>
      <c r="E12" s="9">
        <v>17</v>
      </c>
    </row>
    <row r="13" spans="2:5" ht="15.75" thickBot="1">
      <c r="B13" s="6" t="s">
        <v>14</v>
      </c>
      <c r="C13" s="1" t="s">
        <v>20</v>
      </c>
      <c r="D13" s="1">
        <v>206</v>
      </c>
      <c r="E13" s="7">
        <v>16</v>
      </c>
    </row>
    <row r="14" spans="2:5" ht="15.75" thickBot="1">
      <c r="B14" s="8" t="s">
        <v>21</v>
      </c>
      <c r="C14" s="2" t="s">
        <v>22</v>
      </c>
      <c r="D14" s="2">
        <v>214</v>
      </c>
      <c r="E14" s="9">
        <v>18</v>
      </c>
    </row>
    <row r="15" spans="2:5" ht="15.75" thickBot="1">
      <c r="B15" s="6" t="s">
        <v>23</v>
      </c>
      <c r="C15" s="1" t="s">
        <v>24</v>
      </c>
      <c r="D15" s="1">
        <v>188</v>
      </c>
      <c r="E15" s="7">
        <v>15</v>
      </c>
    </row>
    <row r="16" spans="2:5" ht="15.75" thickBot="1">
      <c r="B16" s="8" t="s">
        <v>25</v>
      </c>
      <c r="C16" s="2" t="s">
        <v>26</v>
      </c>
      <c r="D16" s="2">
        <v>245</v>
      </c>
      <c r="E16" s="9">
        <v>24</v>
      </c>
    </row>
    <row r="17" spans="2:5" ht="15.75" thickBot="1">
      <c r="B17" s="6" t="s">
        <v>27</v>
      </c>
      <c r="C17" s="1" t="s">
        <v>28</v>
      </c>
      <c r="D17" s="1">
        <v>172</v>
      </c>
      <c r="E17" s="7">
        <v>17</v>
      </c>
    </row>
    <row r="18" spans="2:5" ht="15.75" thickBot="1">
      <c r="B18" s="8" t="s">
        <v>29</v>
      </c>
      <c r="C18" s="2" t="s">
        <v>30</v>
      </c>
      <c r="D18" s="2">
        <v>159</v>
      </c>
      <c r="E18" s="9">
        <v>17</v>
      </c>
    </row>
    <row r="19" spans="2:5" ht="15.75" thickBot="1">
      <c r="B19" s="6" t="s">
        <v>31</v>
      </c>
      <c r="C19" s="1" t="s">
        <v>32</v>
      </c>
      <c r="D19" s="1">
        <v>233</v>
      </c>
      <c r="E19" s="7">
        <v>17</v>
      </c>
    </row>
    <row r="20" spans="2:5" ht="15.75" thickBot="1">
      <c r="B20" s="8" t="s">
        <v>33</v>
      </c>
      <c r="C20" s="2" t="s">
        <v>34</v>
      </c>
      <c r="D20" s="2">
        <v>196</v>
      </c>
      <c r="E20" s="9">
        <v>14</v>
      </c>
    </row>
    <row r="21" spans="2:5" ht="15.75" thickBot="1">
      <c r="B21" s="6" t="s">
        <v>35</v>
      </c>
      <c r="C21" s="1" t="s">
        <v>36</v>
      </c>
      <c r="D21" s="1">
        <v>212</v>
      </c>
      <c r="E21" s="7">
        <v>21</v>
      </c>
    </row>
    <row r="22" spans="2:5" ht="15.75" thickBot="1">
      <c r="B22" s="8" t="s">
        <v>37</v>
      </c>
      <c r="C22" s="2" t="s">
        <v>38</v>
      </c>
      <c r="D22" s="2">
        <v>232</v>
      </c>
      <c r="E22" s="9">
        <v>18</v>
      </c>
    </row>
    <row r="23" spans="2:5" ht="15.75" thickBot="1">
      <c r="B23" s="6" t="s">
        <v>39</v>
      </c>
      <c r="C23" s="1" t="s">
        <v>40</v>
      </c>
      <c r="D23" s="1">
        <v>213</v>
      </c>
      <c r="E23" s="7">
        <v>17</v>
      </c>
    </row>
    <row r="24" spans="2:5" ht="15.75" thickBot="1">
      <c r="B24" s="8" t="s">
        <v>41</v>
      </c>
      <c r="C24" s="2" t="s">
        <v>42</v>
      </c>
      <c r="D24" s="2">
        <v>282</v>
      </c>
      <c r="E24" s="9">
        <v>28</v>
      </c>
    </row>
    <row r="25" spans="2:5" ht="15.75" thickBot="1">
      <c r="B25" s="6" t="s">
        <v>43</v>
      </c>
      <c r="C25" s="1" t="s">
        <v>44</v>
      </c>
      <c r="D25" s="1">
        <v>214</v>
      </c>
      <c r="E25" s="7">
        <v>19</v>
      </c>
    </row>
    <row r="26" spans="2:5" ht="15.75" thickBot="1">
      <c r="B26" s="8" t="s">
        <v>45</v>
      </c>
      <c r="C26" s="2" t="s">
        <v>45</v>
      </c>
      <c r="D26" s="2">
        <v>194</v>
      </c>
      <c r="E26" s="9">
        <v>14</v>
      </c>
    </row>
    <row r="27" spans="2:5" ht="15.75" thickBot="1">
      <c r="B27" s="6" t="s">
        <v>46</v>
      </c>
      <c r="C27" s="1" t="s">
        <v>47</v>
      </c>
      <c r="D27" s="1">
        <v>203</v>
      </c>
      <c r="E27" s="7">
        <v>19</v>
      </c>
    </row>
    <row r="28" spans="2:5" ht="15.75" thickBot="1">
      <c r="B28" s="8" t="s">
        <v>14</v>
      </c>
      <c r="C28" s="2" t="s">
        <v>48</v>
      </c>
      <c r="D28" s="2">
        <v>206</v>
      </c>
      <c r="E28" s="9">
        <v>19</v>
      </c>
    </row>
    <row r="29" spans="2:5" ht="15.75" thickBot="1">
      <c r="B29" s="6" t="s">
        <v>49</v>
      </c>
      <c r="C29" s="1" t="s">
        <v>50</v>
      </c>
      <c r="D29" s="1">
        <v>208</v>
      </c>
      <c r="E29" s="7">
        <v>22</v>
      </c>
    </row>
    <row r="30" spans="2:5" ht="15.75" thickBot="1">
      <c r="B30" s="8" t="s">
        <v>51</v>
      </c>
      <c r="C30" s="2" t="s">
        <v>52</v>
      </c>
      <c r="D30" s="2">
        <v>206</v>
      </c>
      <c r="E30" s="9">
        <v>17</v>
      </c>
    </row>
    <row r="31" spans="2:5" ht="15.75" thickBot="1">
      <c r="B31" s="6" t="s">
        <v>53</v>
      </c>
      <c r="C31" s="1" t="s">
        <v>54</v>
      </c>
      <c r="D31" s="1">
        <v>210</v>
      </c>
      <c r="E31" s="7">
        <v>17</v>
      </c>
    </row>
    <row r="32" spans="2:5" ht="29.25" thickBot="1">
      <c r="B32" s="8" t="s">
        <v>14</v>
      </c>
      <c r="C32" s="2" t="s">
        <v>55</v>
      </c>
      <c r="D32" s="2">
        <v>205</v>
      </c>
      <c r="E32" s="9">
        <v>15</v>
      </c>
    </row>
    <row r="33" spans="2:5" ht="15.75" thickBot="1">
      <c r="B33" s="6" t="s">
        <v>14</v>
      </c>
      <c r="C33" s="1" t="s">
        <v>56</v>
      </c>
      <c r="D33" s="1">
        <v>199</v>
      </c>
      <c r="E33" s="7">
        <v>10</v>
      </c>
    </row>
    <row r="34" spans="2:5" ht="15.75" thickBot="1">
      <c r="B34" s="8" t="s">
        <v>57</v>
      </c>
      <c r="C34" s="2" t="s">
        <v>58</v>
      </c>
      <c r="D34" s="2">
        <v>159</v>
      </c>
      <c r="E34" s="9">
        <v>14</v>
      </c>
    </row>
    <row r="35" spans="2:5" ht="15.75" thickBot="1">
      <c r="B35" s="6" t="s">
        <v>14</v>
      </c>
      <c r="C35" s="1" t="s">
        <v>59</v>
      </c>
      <c r="D35" s="1">
        <v>155</v>
      </c>
      <c r="E35" s="7">
        <v>15</v>
      </c>
    </row>
    <row r="36" spans="2:5" ht="15.75" thickBot="1">
      <c r="B36" s="8" t="s">
        <v>14</v>
      </c>
      <c r="C36" s="2" t="s">
        <v>60</v>
      </c>
      <c r="D36" s="2">
        <v>199</v>
      </c>
      <c r="E36" s="9">
        <v>21</v>
      </c>
    </row>
    <row r="37" spans="2:5" ht="15.75" thickBot="1">
      <c r="B37" s="6" t="s">
        <v>61</v>
      </c>
      <c r="C37" s="1" t="s">
        <v>62</v>
      </c>
      <c r="D37" s="1">
        <v>169</v>
      </c>
      <c r="E37" s="7">
        <v>15</v>
      </c>
    </row>
    <row r="38" spans="2:5" ht="15.75" thickBot="1">
      <c r="B38" s="8" t="s">
        <v>63</v>
      </c>
      <c r="C38" s="2" t="s">
        <v>64</v>
      </c>
      <c r="D38" s="2">
        <v>226</v>
      </c>
      <c r="E38" s="9">
        <v>18</v>
      </c>
    </row>
    <row r="39" spans="2:5" ht="15.75" thickBot="1">
      <c r="B39" s="6" t="s">
        <v>65</v>
      </c>
      <c r="C39" s="1" t="s">
        <v>66</v>
      </c>
      <c r="D39" s="1">
        <v>179</v>
      </c>
      <c r="E39" s="7">
        <v>22</v>
      </c>
    </row>
    <row r="40" spans="2:5" ht="15.75" thickBot="1">
      <c r="B40" s="8" t="s">
        <v>67</v>
      </c>
      <c r="C40" s="2" t="s">
        <v>68</v>
      </c>
      <c r="D40" s="2">
        <v>161</v>
      </c>
      <c r="E40" s="9">
        <v>14</v>
      </c>
    </row>
    <row r="41" spans="2:5" ht="15.75" thickBot="1">
      <c r="B41" s="6" t="s">
        <v>69</v>
      </c>
      <c r="C41" s="1" t="s">
        <v>70</v>
      </c>
      <c r="D41" s="1">
        <v>201</v>
      </c>
      <c r="E41" s="7">
        <v>15</v>
      </c>
    </row>
    <row r="42" spans="2:5" ht="15.75" thickBot="1">
      <c r="B42" s="8" t="s">
        <v>71</v>
      </c>
      <c r="C42" s="2" t="s">
        <v>72</v>
      </c>
      <c r="D42" s="2">
        <v>186</v>
      </c>
      <c r="E42" s="9">
        <v>17</v>
      </c>
    </row>
    <row r="43" spans="2:5" ht="15.75" thickBot="1">
      <c r="B43" s="6" t="s">
        <v>73</v>
      </c>
      <c r="C43" s="1" t="s">
        <v>74</v>
      </c>
      <c r="D43" s="1">
        <v>186</v>
      </c>
      <c r="E43" s="7">
        <v>16</v>
      </c>
    </row>
    <row r="44" spans="2:5" ht="15.75" thickBot="1">
      <c r="B44" s="8" t="s">
        <v>24</v>
      </c>
      <c r="C44" s="2" t="s">
        <v>75</v>
      </c>
      <c r="D44" s="2">
        <v>214</v>
      </c>
      <c r="E44" s="9">
        <v>21</v>
      </c>
    </row>
    <row r="45" spans="2:5" ht="15.75" thickBot="1">
      <c r="B45" s="6" t="s">
        <v>76</v>
      </c>
      <c r="C45" s="1" t="s">
        <v>77</v>
      </c>
      <c r="D45" s="1">
        <v>154</v>
      </c>
      <c r="E45" s="7">
        <v>14</v>
      </c>
    </row>
    <row r="46" spans="2:5" ht="15.75" thickBot="1">
      <c r="B46" s="8" t="s">
        <v>14</v>
      </c>
      <c r="C46" s="2" t="s">
        <v>78</v>
      </c>
      <c r="D46" s="2">
        <v>180</v>
      </c>
      <c r="E46" s="9">
        <v>19</v>
      </c>
    </row>
    <row r="47" spans="2:5" ht="15.75" thickBot="1">
      <c r="B47" s="6" t="s">
        <v>14</v>
      </c>
      <c r="C47" s="1" t="s">
        <v>79</v>
      </c>
      <c r="D47" s="1">
        <v>161</v>
      </c>
      <c r="E47" s="7">
        <v>14</v>
      </c>
    </row>
    <row r="48" spans="2:5" ht="15.75" thickBot="1">
      <c r="B48" s="8" t="s">
        <v>80</v>
      </c>
      <c r="C48" s="2" t="s">
        <v>81</v>
      </c>
      <c r="D48" s="2">
        <v>168</v>
      </c>
      <c r="E48" s="9">
        <v>16</v>
      </c>
    </row>
    <row r="49" spans="2:5" ht="15.75" thickBot="1">
      <c r="B49" s="6" t="s">
        <v>14</v>
      </c>
      <c r="C49" s="1" t="s">
        <v>82</v>
      </c>
      <c r="D49" s="1">
        <v>183</v>
      </c>
      <c r="E49" s="7">
        <v>15</v>
      </c>
    </row>
    <row r="50" spans="2:5" ht="15.75" thickBot="1">
      <c r="B50" s="8" t="s">
        <v>83</v>
      </c>
      <c r="C50" s="2" t="s">
        <v>84</v>
      </c>
      <c r="D50" s="2">
        <v>219</v>
      </c>
      <c r="E50" s="9">
        <v>19</v>
      </c>
    </row>
    <row r="51" spans="2:5" ht="15.75" thickBot="1">
      <c r="B51" s="6" t="s">
        <v>85</v>
      </c>
      <c r="C51" s="1" t="s">
        <v>86</v>
      </c>
      <c r="D51" s="1">
        <v>205</v>
      </c>
      <c r="E51" s="7">
        <v>14</v>
      </c>
    </row>
    <row r="52" spans="2:5" ht="15.75" thickBot="1">
      <c r="B52" s="8" t="s">
        <v>87</v>
      </c>
      <c r="C52" s="2" t="s">
        <v>88</v>
      </c>
      <c r="D52" s="2">
        <v>213</v>
      </c>
      <c r="E52" s="9">
        <v>27</v>
      </c>
    </row>
    <row r="53" spans="2:5" ht="15.75" thickBot="1">
      <c r="B53" s="6" t="s">
        <v>89</v>
      </c>
      <c r="C53" s="1" t="s">
        <v>90</v>
      </c>
      <c r="D53" s="1">
        <v>210</v>
      </c>
      <c r="E53" s="7">
        <v>17</v>
      </c>
    </row>
    <row r="54" spans="2:5" ht="15.75" thickBot="1">
      <c r="B54" s="8" t="s">
        <v>91</v>
      </c>
      <c r="C54" s="2" t="s">
        <v>92</v>
      </c>
      <c r="D54" s="2">
        <v>242</v>
      </c>
      <c r="E54" s="9">
        <v>16</v>
      </c>
    </row>
    <row r="55" spans="2:5" ht="15.75" thickBot="1">
      <c r="B55" s="6" t="s">
        <v>14</v>
      </c>
      <c r="C55" s="1" t="s">
        <v>93</v>
      </c>
      <c r="D55" s="1">
        <v>210</v>
      </c>
      <c r="E55" s="7">
        <v>20</v>
      </c>
    </row>
    <row r="56" spans="2:5" ht="15.75" thickBot="1">
      <c r="B56" s="8" t="s">
        <v>94</v>
      </c>
      <c r="C56" s="2" t="s">
        <v>67</v>
      </c>
      <c r="D56" s="2">
        <v>198</v>
      </c>
      <c r="E56" s="9">
        <v>12</v>
      </c>
    </row>
    <row r="57" spans="2:5" ht="15.75" thickBot="1">
      <c r="B57" s="6" t="s">
        <v>95</v>
      </c>
      <c r="C57" s="1" t="s">
        <v>96</v>
      </c>
      <c r="D57" s="1">
        <v>190</v>
      </c>
      <c r="E57" s="7">
        <v>14</v>
      </c>
    </row>
    <row r="58" spans="2:5" ht="15.75" thickBot="1">
      <c r="B58" s="8" t="s">
        <v>97</v>
      </c>
      <c r="C58" s="2" t="s">
        <v>98</v>
      </c>
      <c r="D58" s="2">
        <v>222</v>
      </c>
      <c r="E58" s="9">
        <v>17</v>
      </c>
    </row>
    <row r="59" spans="2:5" ht="15.75" thickBot="1">
      <c r="B59" s="6" t="s">
        <v>99</v>
      </c>
      <c r="C59" s="1" t="s">
        <v>100</v>
      </c>
      <c r="D59" s="1">
        <v>212</v>
      </c>
      <c r="E59" s="7">
        <v>20</v>
      </c>
    </row>
    <row r="60" spans="2:5" ht="15.75" thickBot="1">
      <c r="B60" s="8" t="s">
        <v>101</v>
      </c>
      <c r="C60" s="2" t="s">
        <v>102</v>
      </c>
      <c r="D60" s="2">
        <v>212</v>
      </c>
      <c r="E60" s="9">
        <v>16</v>
      </c>
    </row>
    <row r="61" spans="2:5" ht="15.75" thickBot="1">
      <c r="B61" s="6" t="s">
        <v>103</v>
      </c>
      <c r="C61" s="1" t="s">
        <v>104</v>
      </c>
      <c r="D61" s="1">
        <v>208</v>
      </c>
      <c r="E61" s="7">
        <v>19</v>
      </c>
    </row>
    <row r="62" spans="2:5" ht="15.75" thickBot="1">
      <c r="B62" s="8" t="s">
        <v>105</v>
      </c>
      <c r="C62" s="2" t="s">
        <v>106</v>
      </c>
      <c r="D62" s="2">
        <v>209</v>
      </c>
      <c r="E62" s="9">
        <v>18</v>
      </c>
    </row>
    <row r="63" spans="2:5" ht="15.75" thickBot="1">
      <c r="B63" s="6" t="s">
        <v>107</v>
      </c>
      <c r="C63" s="1" t="s">
        <v>108</v>
      </c>
      <c r="D63" s="1">
        <v>199</v>
      </c>
      <c r="E63" s="7">
        <v>14</v>
      </c>
    </row>
    <row r="64" spans="2:5" ht="15.75" thickBot="1">
      <c r="B64" s="8" t="s">
        <v>109</v>
      </c>
      <c r="C64" s="2" t="s">
        <v>110</v>
      </c>
      <c r="D64" s="2">
        <v>207</v>
      </c>
      <c r="E64" s="9">
        <v>21</v>
      </c>
    </row>
    <row r="65" spans="2:5" ht="15.75" thickBot="1">
      <c r="B65" s="6" t="s">
        <v>111</v>
      </c>
      <c r="C65" s="1" t="s">
        <v>112</v>
      </c>
      <c r="D65" s="1">
        <v>203</v>
      </c>
      <c r="E65" s="7">
        <v>15</v>
      </c>
    </row>
    <row r="66" spans="2:5" ht="15.75" thickBot="1">
      <c r="B66" s="8" t="s">
        <v>113</v>
      </c>
      <c r="C66" s="2" t="s">
        <v>114</v>
      </c>
      <c r="D66" s="2">
        <v>201</v>
      </c>
      <c r="E66" s="9">
        <v>16</v>
      </c>
    </row>
    <row r="67" spans="2:5" ht="15.75" thickBot="1">
      <c r="B67" s="6" t="s">
        <v>14</v>
      </c>
      <c r="C67" s="1" t="s">
        <v>115</v>
      </c>
      <c r="D67" s="1">
        <v>185</v>
      </c>
      <c r="E67" s="7">
        <v>13</v>
      </c>
    </row>
    <row r="68" spans="2:5" ht="15.75" thickBot="1">
      <c r="B68" s="8" t="s">
        <v>116</v>
      </c>
      <c r="C68" s="2" t="s">
        <v>117</v>
      </c>
      <c r="D68" s="2">
        <v>208</v>
      </c>
      <c r="E68" s="9">
        <v>27</v>
      </c>
    </row>
    <row r="69" spans="2:5" ht="15.75" thickBot="1">
      <c r="B69" s="6" t="s">
        <v>118</v>
      </c>
      <c r="C69" s="1" t="s">
        <v>119</v>
      </c>
      <c r="D69" s="1">
        <v>217</v>
      </c>
      <c r="E69" s="7">
        <v>17</v>
      </c>
    </row>
    <row r="70" spans="2:5" ht="15.75" thickBot="1">
      <c r="B70" s="8" t="s">
        <v>120</v>
      </c>
      <c r="C70" s="2" t="s">
        <v>121</v>
      </c>
      <c r="D70" s="2">
        <v>200</v>
      </c>
      <c r="E70" s="9">
        <v>13</v>
      </c>
    </row>
    <row r="71" spans="2:5" ht="15.75" thickBot="1">
      <c r="B71" s="6" t="s">
        <v>122</v>
      </c>
      <c r="C71" s="1" t="s">
        <v>123</v>
      </c>
      <c r="D71" s="1">
        <v>176</v>
      </c>
      <c r="E71" s="7">
        <v>11</v>
      </c>
    </row>
    <row r="72" spans="2:5" ht="15.75" thickBot="1">
      <c r="B72" s="8" t="s">
        <v>124</v>
      </c>
      <c r="C72" s="2" t="s">
        <v>125</v>
      </c>
      <c r="D72" s="2">
        <v>161</v>
      </c>
      <c r="E72" s="9">
        <v>14</v>
      </c>
    </row>
    <row r="73" spans="2:5" ht="15.75" thickBot="1">
      <c r="B73" s="6" t="s">
        <v>14</v>
      </c>
      <c r="C73" s="1" t="s">
        <v>126</v>
      </c>
      <c r="D73" s="1">
        <v>158</v>
      </c>
      <c r="E73" s="7">
        <v>13</v>
      </c>
    </row>
    <row r="74" spans="2:5" ht="15.75" thickBot="1">
      <c r="B74" s="8" t="s">
        <v>127</v>
      </c>
      <c r="C74" s="2" t="s">
        <v>128</v>
      </c>
      <c r="D74" s="2">
        <v>196</v>
      </c>
      <c r="E74" s="9">
        <v>16</v>
      </c>
    </row>
    <row r="75" spans="2:5" ht="15.75" thickBot="1">
      <c r="B75" s="6" t="s">
        <v>129</v>
      </c>
      <c r="C75" s="1" t="s">
        <v>130</v>
      </c>
      <c r="D75" s="1">
        <v>185</v>
      </c>
      <c r="E75" s="7">
        <v>17</v>
      </c>
    </row>
    <row r="76" spans="2:5" ht="15.75" thickBot="1">
      <c r="B76" s="8" t="s">
        <v>131</v>
      </c>
      <c r="C76" s="2" t="s">
        <v>132</v>
      </c>
      <c r="D76" s="2">
        <v>220</v>
      </c>
      <c r="E76" s="9">
        <v>19</v>
      </c>
    </row>
    <row r="77" spans="2:5" ht="15.75" thickBot="1">
      <c r="B77" s="6" t="s">
        <v>14</v>
      </c>
      <c r="C77" s="1" t="s">
        <v>133</v>
      </c>
      <c r="D77" s="1">
        <v>213</v>
      </c>
      <c r="E77" s="7">
        <v>20</v>
      </c>
    </row>
    <row r="78" spans="2:5" ht="29.25" thickBot="1">
      <c r="B78" s="8" t="s">
        <v>14</v>
      </c>
      <c r="C78" s="2" t="s">
        <v>134</v>
      </c>
      <c r="D78" s="2">
        <v>199</v>
      </c>
      <c r="E78" s="9">
        <v>17</v>
      </c>
    </row>
    <row r="79" spans="2:5" ht="15.75" thickBot="1">
      <c r="B79" s="6" t="s">
        <v>135</v>
      </c>
      <c r="C79" s="1" t="s">
        <v>136</v>
      </c>
      <c r="D79" s="1">
        <v>195</v>
      </c>
      <c r="E79" s="7">
        <v>15</v>
      </c>
    </row>
    <row r="80" spans="2:5" ht="15.75" thickBot="1">
      <c r="B80" s="8" t="s">
        <v>137</v>
      </c>
      <c r="C80" s="2" t="s">
        <v>138</v>
      </c>
      <c r="D80" s="2">
        <v>162</v>
      </c>
      <c r="E80" s="9">
        <v>15</v>
      </c>
    </row>
    <row r="81" spans="2:5" ht="15.75" thickBot="1">
      <c r="B81" s="6" t="s">
        <v>139</v>
      </c>
      <c r="C81" s="1" t="s">
        <v>140</v>
      </c>
      <c r="D81" s="1">
        <v>216</v>
      </c>
      <c r="E81" s="7">
        <v>16</v>
      </c>
    </row>
    <row r="82" spans="2:5" ht="15.75" thickBot="1">
      <c r="B82" s="8" t="s">
        <v>141</v>
      </c>
      <c r="C82" s="2" t="s">
        <v>142</v>
      </c>
      <c r="D82" s="2">
        <v>210</v>
      </c>
      <c r="E82" s="9">
        <v>15</v>
      </c>
    </row>
    <row r="83" spans="2:5" ht="15.75" thickBot="1">
      <c r="B83" s="10" t="s">
        <v>143</v>
      </c>
      <c r="C83" s="11" t="s">
        <v>144</v>
      </c>
      <c r="D83" s="11">
        <v>132</v>
      </c>
      <c r="E83" s="12">
        <v>23</v>
      </c>
    </row>
  </sheetData>
  <pageMargins left="0.7" right="0.7" top="0.75" bottom="0.75" header="0.3" footer="0.3"/>
  <pageSetup scale="51"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zoomScale="70" zoomScaleNormal="70" workbookViewId="0">
      <selection activeCell="C23" sqref="C23:C30"/>
    </sheetView>
  </sheetViews>
  <sheetFormatPr defaultRowHeight="14.25"/>
  <cols>
    <col min="1" max="1" width="9.140625" style="52"/>
    <col min="2" max="3" width="39.5703125" style="52" customWidth="1"/>
    <col min="4" max="4" width="22.28515625" style="140" customWidth="1"/>
    <col min="5" max="16384" width="9.140625" style="52"/>
  </cols>
  <sheetData>
    <row r="1" spans="1:4">
      <c r="A1" s="52">
        <v>2</v>
      </c>
    </row>
    <row r="2" spans="1:4" ht="29.25" customHeight="1"/>
    <row r="3" spans="1:4" ht="24" customHeight="1">
      <c r="B3" s="412" t="s">
        <v>562</v>
      </c>
    </row>
    <row r="4" spans="1:4" ht="18" customHeight="1">
      <c r="B4" s="358" t="s">
        <v>552</v>
      </c>
    </row>
    <row r="5" spans="1:4" ht="18" customHeight="1"/>
    <row r="6" spans="1:4" ht="24" customHeight="1" thickBot="1">
      <c r="B6" s="210" t="s">
        <v>561</v>
      </c>
      <c r="C6" s="418"/>
      <c r="D6" s="418"/>
    </row>
    <row r="7" spans="1:4" ht="78" customHeight="1" thickBot="1">
      <c r="B7" s="228" t="s">
        <v>185</v>
      </c>
      <c r="C7" s="229" t="s">
        <v>162</v>
      </c>
      <c r="D7" s="230" t="s">
        <v>527</v>
      </c>
    </row>
    <row r="8" spans="1:4" ht="24" customHeight="1">
      <c r="B8" s="231" t="str">
        <f>'EARLY SEASON CROPS 1'!B7</f>
        <v>Beans, bush</v>
      </c>
      <c r="C8" s="232" t="s">
        <v>396</v>
      </c>
      <c r="D8" s="416">
        <v>1</v>
      </c>
    </row>
    <row r="9" spans="1:4" ht="24" customHeight="1">
      <c r="B9" s="231" t="str">
        <f>'EARLY SEASON CROPS 1'!B8</f>
        <v>Beans, pole</v>
      </c>
      <c r="C9" s="232" t="s">
        <v>396</v>
      </c>
      <c r="D9" s="416">
        <v>1</v>
      </c>
    </row>
    <row r="10" spans="1:4" ht="24" customHeight="1">
      <c r="B10" s="231" t="str">
        <f>'EARLY SEASON CROPS 1'!B9</f>
        <v>Beets</v>
      </c>
      <c r="C10" s="232" t="s">
        <v>396</v>
      </c>
      <c r="D10" s="416">
        <v>1.5</v>
      </c>
    </row>
    <row r="11" spans="1:4" ht="24" customHeight="1">
      <c r="B11" s="231" t="str">
        <f>'EARLY SEASON CROPS 1'!B10</f>
        <v>Broccoli</v>
      </c>
      <c r="C11" s="232" t="s">
        <v>396</v>
      </c>
      <c r="D11" s="416">
        <v>2</v>
      </c>
    </row>
    <row r="12" spans="1:4" ht="24" customHeight="1">
      <c r="B12" s="231" t="str">
        <f>'EARLY SEASON CROPS 1'!B11</f>
        <v>Brussel Sprouts</v>
      </c>
      <c r="C12" s="232" t="s">
        <v>396</v>
      </c>
      <c r="D12" s="416">
        <v>4</v>
      </c>
    </row>
    <row r="13" spans="1:4" ht="24" customHeight="1">
      <c r="B13" s="231" t="str">
        <f>'EARLY SEASON CROPS 1'!B12</f>
        <v>Cabbage</v>
      </c>
      <c r="C13" s="232" t="s">
        <v>396</v>
      </c>
      <c r="D13" s="416">
        <v>1</v>
      </c>
    </row>
    <row r="14" spans="1:4" ht="24" customHeight="1">
      <c r="B14" s="231" t="str">
        <f>'EARLY SEASON CROPS 1'!B13</f>
        <v>Cabbage, Chinese**</v>
      </c>
      <c r="C14" s="232" t="s">
        <v>281</v>
      </c>
      <c r="D14" s="416">
        <v>2</v>
      </c>
    </row>
    <row r="15" spans="1:4" ht="24" customHeight="1">
      <c r="B15" s="231" t="str">
        <f>'EARLY SEASON CROPS 1'!B14</f>
        <v>Carrots</v>
      </c>
      <c r="C15" s="232" t="s">
        <v>396</v>
      </c>
      <c r="D15" s="416">
        <v>1</v>
      </c>
    </row>
    <row r="16" spans="1:4" ht="24" customHeight="1">
      <c r="B16" s="231" t="str">
        <f>'EARLY SEASON CROPS 1'!B15</f>
        <v>Cauliflower</v>
      </c>
      <c r="C16" s="232" t="s">
        <v>396</v>
      </c>
      <c r="D16" s="416">
        <v>2</v>
      </c>
    </row>
    <row r="17" spans="2:4" ht="24" customHeight="1">
      <c r="B17" s="231" t="str">
        <f>'EARLY SEASON CROPS 1'!B16</f>
        <v>Kale</v>
      </c>
      <c r="C17" s="232" t="s">
        <v>396</v>
      </c>
      <c r="D17" s="416">
        <v>1.5</v>
      </c>
    </row>
    <row r="18" spans="2:4" ht="24" customHeight="1">
      <c r="B18" s="231" t="str">
        <f>'EARLY SEASON CROPS 1'!B17</f>
        <v>Cucumbers, long seedless</v>
      </c>
      <c r="C18" s="232" t="s">
        <v>396</v>
      </c>
      <c r="D18" s="416">
        <v>2</v>
      </c>
    </row>
    <row r="19" spans="2:4" ht="24" customHeight="1">
      <c r="B19" s="231" t="str">
        <f>'EARLY SEASON CROPS 1'!B18</f>
        <v>Eggplant</v>
      </c>
      <c r="C19" s="232" t="s">
        <v>396</v>
      </c>
      <c r="D19" s="416">
        <v>1.5</v>
      </c>
    </row>
    <row r="20" spans="2:4" ht="24" customHeight="1">
      <c r="B20" s="231" t="str">
        <f>'EARLY SEASON CROPS 1'!B19</f>
        <v>Kohlrabi</v>
      </c>
      <c r="C20" s="232" t="s">
        <v>396</v>
      </c>
      <c r="D20" s="416">
        <v>0</v>
      </c>
    </row>
    <row r="21" spans="2:4" ht="24" customHeight="1">
      <c r="B21" s="231" t="str">
        <f>'EARLY SEASON CROPS 1'!B20</f>
        <v>Lettuce, head**</v>
      </c>
      <c r="C21" s="232" t="s">
        <v>281</v>
      </c>
      <c r="D21" s="416">
        <v>1.5</v>
      </c>
    </row>
    <row r="22" spans="2:4" ht="24" customHeight="1">
      <c r="B22" s="231" t="str">
        <f>'EARLY SEASON CROPS 1'!B21</f>
        <v>Lettuce, leaf</v>
      </c>
      <c r="C22" s="232" t="s">
        <v>396</v>
      </c>
      <c r="D22" s="416">
        <v>3</v>
      </c>
    </row>
    <row r="23" spans="2:4" ht="24" customHeight="1">
      <c r="B23" s="231" t="str">
        <f>'EARLY SEASON CROPS 1'!B22</f>
        <v>Muskmelon, cantaloupe**</v>
      </c>
      <c r="C23" s="232" t="s">
        <v>279</v>
      </c>
      <c r="D23" s="416">
        <v>2.5</v>
      </c>
    </row>
    <row r="24" spans="2:4" ht="24" customHeight="1">
      <c r="B24" s="231" t="str">
        <f>'EARLY SEASON CROPS 1'!B23</f>
        <v>Okra</v>
      </c>
      <c r="C24" s="232" t="s">
        <v>396</v>
      </c>
      <c r="D24" s="416">
        <v>2.5</v>
      </c>
    </row>
    <row r="25" spans="2:4" ht="24" customHeight="1">
      <c r="B25" s="231" t="str">
        <f>'EARLY SEASON CROPS 1'!B24</f>
        <v>Onions (dry)</v>
      </c>
      <c r="C25" s="232" t="s">
        <v>396</v>
      </c>
      <c r="D25" s="416">
        <v>1.29</v>
      </c>
    </row>
    <row r="26" spans="2:4" ht="24" customHeight="1">
      <c r="B26" s="231" t="str">
        <f>'EARLY SEASON CROPS 1'!B25</f>
        <v>Parsley</v>
      </c>
      <c r="C26" s="232" t="s">
        <v>396</v>
      </c>
      <c r="D26" s="416">
        <v>4</v>
      </c>
    </row>
    <row r="27" spans="2:4" ht="24" customHeight="1">
      <c r="B27" s="231" t="str">
        <f>'EARLY SEASON CROPS 1'!B26</f>
        <v>Parsnips</v>
      </c>
      <c r="C27" s="232" t="s">
        <v>396</v>
      </c>
      <c r="D27" s="416">
        <v>1</v>
      </c>
    </row>
    <row r="28" spans="2:4" ht="24" customHeight="1">
      <c r="B28" s="231" t="str">
        <f>'EARLY SEASON CROPS 1'!B27</f>
        <v>Peas, English</v>
      </c>
      <c r="C28" s="232" t="s">
        <v>396</v>
      </c>
      <c r="D28" s="416">
        <v>2</v>
      </c>
    </row>
    <row r="29" spans="2:4" ht="24" customHeight="1">
      <c r="B29" s="231" t="str">
        <f>'EARLY SEASON CROPS 1'!B28</f>
        <v>Peas, Southern</v>
      </c>
      <c r="C29" s="232" t="s">
        <v>396</v>
      </c>
      <c r="D29" s="416">
        <v>2</v>
      </c>
    </row>
    <row r="30" spans="2:4" ht="24" customHeight="1">
      <c r="B30" s="231" t="str">
        <f>'EARLY SEASON CROPS 1'!B29</f>
        <v>Peppers, Sweet</v>
      </c>
      <c r="C30" s="232" t="s">
        <v>396</v>
      </c>
      <c r="D30" s="416">
        <v>2.5</v>
      </c>
    </row>
    <row r="31" spans="2:4" ht="24" customHeight="1">
      <c r="B31" s="231" t="str">
        <f>'EARLY SEASON CROPS 1'!B30</f>
        <v>Peppers, Green</v>
      </c>
      <c r="C31" s="232" t="s">
        <v>396</v>
      </c>
      <c r="D31" s="416">
        <v>1.5</v>
      </c>
    </row>
    <row r="32" spans="2:4" ht="24" customHeight="1">
      <c r="B32" s="231" t="str">
        <f>'EARLY SEASON CROPS 1'!B31</f>
        <v>Potatoes, Irish</v>
      </c>
      <c r="C32" s="232" t="s">
        <v>396</v>
      </c>
      <c r="D32" s="416">
        <v>1</v>
      </c>
    </row>
    <row r="33" spans="2:4" ht="24" customHeight="1">
      <c r="B33" s="231" t="str">
        <f>'EARLY SEASON CROPS 1'!B32</f>
        <v>Potatoes, Sweet</v>
      </c>
      <c r="C33" s="232" t="s">
        <v>396</v>
      </c>
      <c r="D33" s="416">
        <v>1</v>
      </c>
    </row>
    <row r="34" spans="2:4" ht="24" customHeight="1">
      <c r="B34" s="231" t="str">
        <f>'EARLY SEASON CROPS 1'!B33</f>
        <v>Pumpkins</v>
      </c>
      <c r="C34" s="232" t="s">
        <v>396</v>
      </c>
      <c r="D34" s="416">
        <v>1.25</v>
      </c>
    </row>
    <row r="35" spans="2:4" ht="24" customHeight="1">
      <c r="B35" s="231" t="str">
        <f>'EARLY SEASON CROPS 1'!B34</f>
        <v>Radishes**</v>
      </c>
      <c r="C35" s="232" t="s">
        <v>280</v>
      </c>
      <c r="D35" s="416">
        <v>1.2</v>
      </c>
    </row>
    <row r="36" spans="2:4" ht="24" customHeight="1">
      <c r="B36" s="231" t="str">
        <f>'EARLY SEASON CROPS 1'!B35</f>
        <v>Spinach</v>
      </c>
      <c r="C36" s="232" t="s">
        <v>396</v>
      </c>
      <c r="D36" s="416">
        <v>2</v>
      </c>
    </row>
    <row r="37" spans="2:4" ht="24" customHeight="1">
      <c r="B37" s="231" t="str">
        <f>'EARLY SEASON CROPS 1'!B36</f>
        <v>Squash, summer</v>
      </c>
      <c r="C37" s="232" t="s">
        <v>396</v>
      </c>
      <c r="D37" s="416">
        <v>1.5</v>
      </c>
    </row>
    <row r="38" spans="2:4" ht="24" customHeight="1">
      <c r="B38" s="231" t="str">
        <f>'EARLY SEASON CROPS 1'!B37</f>
        <v>Squash, winter</v>
      </c>
      <c r="C38" s="232" t="s">
        <v>396</v>
      </c>
      <c r="D38" s="416">
        <v>1</v>
      </c>
    </row>
    <row r="39" spans="2:4" ht="24" customHeight="1">
      <c r="B39" s="231" t="str">
        <f>'EARLY SEASON CROPS 1'!B38</f>
        <v>Tomatoes</v>
      </c>
      <c r="C39" s="232" t="s">
        <v>396</v>
      </c>
      <c r="D39" s="416">
        <v>2.5</v>
      </c>
    </row>
    <row r="40" spans="2:4" ht="24" customHeight="1">
      <c r="B40" s="231" t="str">
        <f>'EARLY SEASON CROPS 1'!B39</f>
        <v>Turnip, greens</v>
      </c>
      <c r="C40" s="232" t="s">
        <v>396</v>
      </c>
      <c r="D40" s="416">
        <v>1</v>
      </c>
    </row>
    <row r="41" spans="2:4" ht="24" customHeight="1">
      <c r="B41" s="231" t="str">
        <f>'EARLY SEASON CROPS 1'!B40</f>
        <v>Turnip, roots</v>
      </c>
      <c r="C41" s="232" t="s">
        <v>396</v>
      </c>
      <c r="D41" s="416">
        <v>1</v>
      </c>
    </row>
    <row r="42" spans="2:4" ht="24" customHeight="1" thickBot="1">
      <c r="B42" s="231" t="str">
        <f>'EARLY SEASON CROPS 1'!B41</f>
        <v>Watermelon**</v>
      </c>
      <c r="C42" s="232" t="s">
        <v>279</v>
      </c>
      <c r="D42" s="417">
        <v>5</v>
      </c>
    </row>
    <row r="43" spans="2:4">
      <c r="B43" s="52" t="s">
        <v>542</v>
      </c>
    </row>
    <row r="45" spans="2:4">
      <c r="B45" s="52" t="s">
        <v>289</v>
      </c>
      <c r="C45" s="53" t="s">
        <v>288</v>
      </c>
    </row>
    <row r="46" spans="2:4">
      <c r="B46" s="52" t="s">
        <v>290</v>
      </c>
      <c r="C46" s="53" t="s">
        <v>291</v>
      </c>
    </row>
  </sheetData>
  <hyperlinks>
    <hyperlink ref="C45" r:id="rId1"/>
    <hyperlink ref="C46" r:id="rId2"/>
    <hyperlink ref="B4" location="'Market Garden Budget'!A1" display="return to budget page"/>
  </hyperlinks>
  <pageMargins left="0.7" right="0.7" top="0.75" bottom="0.75" header="0.3" footer="0.3"/>
  <pageSetup scale="58"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4"/>
  <sheetViews>
    <sheetView zoomScale="70" zoomScaleNormal="70" workbookViewId="0">
      <selection activeCell="H2" sqref="H2"/>
    </sheetView>
  </sheetViews>
  <sheetFormatPr defaultRowHeight="14.25"/>
  <cols>
    <col min="1" max="1" width="9.140625" style="147"/>
    <col min="2" max="2" width="36.7109375" style="147" customWidth="1"/>
    <col min="3" max="8" width="17.85546875" style="147" customWidth="1"/>
    <col min="9" max="12" width="12.7109375" style="147" customWidth="1"/>
    <col min="13" max="13" width="9.5703125" style="147" customWidth="1"/>
    <col min="14" max="14" width="11.28515625" style="147" customWidth="1"/>
    <col min="15" max="15" width="8.28515625" style="147" customWidth="1"/>
    <col min="16" max="16" width="44" style="147" customWidth="1"/>
    <col min="17" max="16384" width="9.140625" style="147"/>
  </cols>
  <sheetData>
    <row r="2" spans="2:16" ht="49.5" customHeight="1"/>
    <row r="3" spans="2:16" ht="24" customHeight="1">
      <c r="B3" s="410" t="s">
        <v>558</v>
      </c>
      <c r="C3" s="148"/>
      <c r="D3" s="148"/>
      <c r="E3" s="148"/>
      <c r="F3" s="148"/>
      <c r="G3" s="148"/>
      <c r="H3" s="148"/>
      <c r="I3" s="148"/>
      <c r="J3" s="148"/>
      <c r="K3" s="148"/>
      <c r="L3" s="148"/>
      <c r="M3" s="148"/>
      <c r="N3" s="148"/>
      <c r="O3" s="148"/>
      <c r="P3" s="148"/>
    </row>
    <row r="4" spans="2:16" ht="18.75" customHeight="1" thickBot="1">
      <c r="B4" s="411" t="s">
        <v>552</v>
      </c>
      <c r="C4" s="149"/>
      <c r="F4" s="148"/>
      <c r="G4" s="148"/>
      <c r="H4" s="148"/>
      <c r="I4" s="148"/>
      <c r="J4" s="148"/>
      <c r="K4" s="148"/>
      <c r="L4" s="148"/>
      <c r="M4" s="148"/>
      <c r="N4" s="148"/>
      <c r="O4" s="148"/>
      <c r="P4" s="148"/>
    </row>
    <row r="5" spans="2:16" ht="18" customHeight="1" thickBot="1">
      <c r="C5" s="149"/>
      <c r="D5" s="376">
        <v>9</v>
      </c>
      <c r="E5" s="150" t="s">
        <v>511</v>
      </c>
      <c r="F5" s="149"/>
      <c r="G5" s="149"/>
      <c r="H5" s="149"/>
      <c r="I5" s="149"/>
      <c r="J5" s="149"/>
      <c r="K5" s="149"/>
      <c r="L5" s="149"/>
      <c r="M5" s="149"/>
      <c r="N5" s="149"/>
      <c r="O5" s="149"/>
      <c r="P5" s="149"/>
    </row>
    <row r="6" spans="2:16" ht="18" customHeight="1" thickBot="1">
      <c r="D6" s="377">
        <v>0.5</v>
      </c>
      <c r="E6" s="150" t="s">
        <v>510</v>
      </c>
      <c r="F6" s="151"/>
      <c r="G6" s="151"/>
      <c r="H6" s="151"/>
      <c r="I6" s="151"/>
      <c r="J6" s="151"/>
      <c r="K6" s="151"/>
      <c r="L6" s="151"/>
      <c r="M6" s="151"/>
      <c r="N6" s="151"/>
      <c r="O6" s="149"/>
      <c r="P6" s="149"/>
    </row>
    <row r="7" spans="2:16" ht="18" customHeight="1" thickBot="1">
      <c r="D7" s="591">
        <v>40</v>
      </c>
      <c r="E7" s="150" t="s">
        <v>604</v>
      </c>
      <c r="F7" s="151"/>
      <c r="G7" s="151"/>
      <c r="H7" s="151"/>
      <c r="I7" s="151"/>
      <c r="J7" s="151"/>
      <c r="K7" s="151"/>
      <c r="L7" s="151"/>
      <c r="M7" s="151"/>
      <c r="N7" s="151"/>
      <c r="O7" s="149"/>
      <c r="P7" s="149"/>
    </row>
    <row r="8" spans="2:16" ht="18" customHeight="1">
      <c r="B8" s="151"/>
      <c r="C8" s="409"/>
      <c r="D8" s="150"/>
      <c r="E8" s="151"/>
      <c r="F8" s="151"/>
      <c r="G8" s="151"/>
      <c r="H8" s="151"/>
      <c r="I8" s="151"/>
      <c r="J8" s="151"/>
      <c r="K8" s="151"/>
      <c r="L8" s="151"/>
      <c r="M8" s="151"/>
      <c r="N8" s="151"/>
      <c r="O8" s="149"/>
      <c r="P8" s="149"/>
    </row>
    <row r="9" spans="2:16" ht="22.5" customHeight="1" thickBot="1">
      <c r="B9" s="408" t="s">
        <v>390</v>
      </c>
      <c r="C9" s="151"/>
      <c r="D9" s="151"/>
      <c r="E9" s="151"/>
      <c r="F9" s="151"/>
      <c r="G9" s="151"/>
      <c r="H9" s="151"/>
      <c r="I9" s="151"/>
      <c r="J9" s="151"/>
      <c r="K9" s="151"/>
      <c r="L9" s="151"/>
      <c r="M9" s="151"/>
      <c r="N9" s="151"/>
      <c r="O9" s="149"/>
      <c r="P9" s="149"/>
    </row>
    <row r="10" spans="2:16" ht="34.5" customHeight="1">
      <c r="B10" s="152" t="s">
        <v>329</v>
      </c>
      <c r="C10" s="610" t="s">
        <v>369</v>
      </c>
      <c r="D10" s="611"/>
      <c r="E10" s="611"/>
      <c r="F10" s="611"/>
      <c r="G10" s="611"/>
      <c r="H10" s="153"/>
      <c r="I10" s="154"/>
      <c r="J10" s="155" t="s">
        <v>283</v>
      </c>
      <c r="K10" s="155" t="s">
        <v>286</v>
      </c>
      <c r="L10" s="156" t="s">
        <v>284</v>
      </c>
      <c r="N10" s="157" t="s">
        <v>428</v>
      </c>
    </row>
    <row r="11" spans="2:16" ht="44.25" customHeight="1" thickBot="1">
      <c r="B11" s="158" t="s">
        <v>282</v>
      </c>
      <c r="C11" s="159" t="s">
        <v>440</v>
      </c>
      <c r="D11" s="160" t="s">
        <v>364</v>
      </c>
      <c r="E11" s="161" t="s">
        <v>276</v>
      </c>
      <c r="F11" s="161" t="s">
        <v>275</v>
      </c>
      <c r="G11" s="161" t="s">
        <v>277</v>
      </c>
      <c r="H11" s="162" t="s">
        <v>477</v>
      </c>
      <c r="I11" s="163" t="s">
        <v>425</v>
      </c>
      <c r="J11" s="164" t="s">
        <v>285</v>
      </c>
      <c r="K11" s="164" t="s">
        <v>285</v>
      </c>
      <c r="L11" s="165" t="s">
        <v>285</v>
      </c>
      <c r="N11" s="166" t="s">
        <v>426</v>
      </c>
    </row>
    <row r="12" spans="2:16" ht="39.950000000000003" customHeight="1">
      <c r="B12" s="167" t="s">
        <v>442</v>
      </c>
      <c r="C12" s="544">
        <v>0</v>
      </c>
      <c r="D12" s="545">
        <v>2</v>
      </c>
      <c r="E12" s="545">
        <v>5</v>
      </c>
      <c r="F12" s="545">
        <v>8</v>
      </c>
      <c r="G12" s="545">
        <v>8</v>
      </c>
      <c r="H12" s="332">
        <v>1</v>
      </c>
      <c r="I12" s="168">
        <f>SUM(C12:H12)</f>
        <v>24</v>
      </c>
      <c r="J12" s="169">
        <f>'EARLY SEASON CROPS 1'!$G$16+'EARLY SEASON CROPS 1'!$G$21+'EARLY SEASON CROPS 1'!$G$25+'EARLY SEASON CROPS 1'!$G$35+'EARLY SEASON CROPS 1'!$G$39</f>
        <v>6</v>
      </c>
      <c r="K12" s="169">
        <f>'MID SEASON CROPS 2'!$G$16+'MID SEASON CROPS 2'!$G$21+'MID SEASON CROPS 2'!$G$25+'MID SEASON CROPS 2'!$G$35+'MID SEASON CROPS 2'!$G$39</f>
        <v>11</v>
      </c>
      <c r="L12" s="169">
        <f>'LATE SEASON CROPS 3'!$G$16+'LATE SEASON CROPS 3'!$G$21+'LATE SEASON CROPS 3'!$G$25+'LATE SEASON CROPS 3'!$G$35+'LATE SEASON CROPS 3'!$G$39</f>
        <v>4</v>
      </c>
      <c r="N12" s="170">
        <f>I12*(J12+K12+L12)</f>
        <v>504</v>
      </c>
    </row>
    <row r="13" spans="2:16" ht="39.950000000000003" customHeight="1">
      <c r="B13" s="171" t="s">
        <v>363</v>
      </c>
      <c r="C13" s="544">
        <v>0</v>
      </c>
      <c r="D13" s="545">
        <v>2</v>
      </c>
      <c r="E13" s="545">
        <v>5</v>
      </c>
      <c r="F13" s="545">
        <v>3</v>
      </c>
      <c r="G13" s="545">
        <v>2</v>
      </c>
      <c r="H13" s="332">
        <v>1</v>
      </c>
      <c r="I13" s="172">
        <f>SUM(C13:H13)</f>
        <v>13</v>
      </c>
      <c r="J13" s="173">
        <f>'EARLY SEASON CROPS 1'!$G$9+'EARLY SEASON CROPS 1'!$G$14+'EARLY SEASON CROPS 1'!$G$19+'EARLY SEASON CROPS 1'!$G$24+'EARLY SEASON CROPS 1'!$G$26+'EARLY SEASON CROPS 1'!$G$31+'EARLY SEASON CROPS 1'!$G$32+'EARLY SEASON CROPS 1'!$G$34+'EARLY SEASON CROPS 1'!$G$40+'EARLY SEASON CROPS 1'!$G$10+'EARLY SEASON CROPS 1'!$G$11+'EARLY SEASON CROPS 1'!$G$15+'EARLY SEASON CROPS 1'!$G$27+'EARLY SEASON CROPS 1'!$G$28+'EARLY SEASON CROPS 1'!$G$7+'EARLY SEASON CROPS 1'!$G$8+'EARLY SEASON CROPS 1'!$G$12+'EARLY SEASON CROPS 1'!$G$13+'EARLY SEASON CROPS 1'!$G$20</f>
        <v>11</v>
      </c>
      <c r="K13" s="173">
        <f>'MID SEASON CROPS 2'!$G$9+'MID SEASON CROPS 2'!$G$14+'MID SEASON CROPS 2'!$G$19+'MID SEASON CROPS 2'!$G$24+'MID SEASON CROPS 2'!$G$26+'MID SEASON CROPS 2'!$G$31+'MID SEASON CROPS 2'!$G$32+'MID SEASON CROPS 2'!$G$34+'MID SEASON CROPS 2'!$G$40+'MID SEASON CROPS 2'!$G$10+'MID SEASON CROPS 2'!$G$11+'MID SEASON CROPS 2'!$G$15+'MID SEASON CROPS 2'!$G$27+'MID SEASON CROPS 2'!$G$28+'MID SEASON CROPS 2'!$G$7+'MID SEASON CROPS 2'!$G$8+'MID SEASON CROPS 2'!$G$12+'MID SEASON CROPS 2'!$G$13+'MID SEASON CROPS 2'!$G$20</f>
        <v>25</v>
      </c>
      <c r="L13" s="173">
        <f>'LATE SEASON CROPS 3'!$G$9+'LATE SEASON CROPS 3'!$G$14+'LATE SEASON CROPS 3'!$G$19+'LATE SEASON CROPS 3'!$G$24+'LATE SEASON CROPS 3'!$G$26+'LATE SEASON CROPS 3'!$G$31+'LATE SEASON CROPS 3'!$G$32+'LATE SEASON CROPS 3'!$G$34+'LATE SEASON CROPS 3'!$G$40+'LATE SEASON CROPS 3'!$G$10+'LATE SEASON CROPS 3'!$G$11+'LATE SEASON CROPS 3'!$G$15+'LATE SEASON CROPS 3'!$G$27+'LATE SEASON CROPS 3'!$G$28+'LATE SEASON CROPS 3'!$G$7+'LATE SEASON CROPS 3'!$G$8+'LATE SEASON CROPS 3'!$G$12+'LATE SEASON CROPS 3'!$G$13+'LATE SEASON CROPS 3'!$G$20</f>
        <v>11</v>
      </c>
      <c r="N13" s="174">
        <f>I13*(J13+K13+L13)</f>
        <v>611</v>
      </c>
    </row>
    <row r="14" spans="2:16" ht="39.950000000000003" customHeight="1" thickBot="1">
      <c r="B14" s="175" t="s">
        <v>441</v>
      </c>
      <c r="C14" s="546">
        <v>8</v>
      </c>
      <c r="D14" s="547">
        <v>1</v>
      </c>
      <c r="E14" s="547">
        <v>7</v>
      </c>
      <c r="F14" s="547">
        <v>3</v>
      </c>
      <c r="G14" s="547">
        <v>1</v>
      </c>
      <c r="H14" s="336">
        <v>1</v>
      </c>
      <c r="I14" s="176">
        <f>SUM(C14:H14)</f>
        <v>21</v>
      </c>
      <c r="J14" s="177">
        <f>'EARLY SEASON CROPS 1'!$G$17+'EARLY SEASON CROPS 1'!$G$18+'EARLY SEASON CROPS 1'!$G$22+'EARLY SEASON CROPS 1'!$G$23+'EARLY SEASON CROPS 1'!$G$29+'EARLY SEASON CROPS 1'!$G$30+'EARLY SEASON CROPS 1'!$G$33+'EARLY SEASON CROPS 1'!$G$36+'EARLY SEASON CROPS 1'!$G$37+'EARLY SEASON CROPS 1'!$G$38+'EARLY SEASON CROPS 1'!$G$41</f>
        <v>0</v>
      </c>
      <c r="K14" s="177">
        <f>'MID SEASON CROPS 2'!$G$17+'MID SEASON CROPS 2'!$G$18+'MID SEASON CROPS 2'!$G$22+'MID SEASON CROPS 2'!$G$23+'MID SEASON CROPS 2'!$G$29+'MID SEASON CROPS 2'!$G$30+'MID SEASON CROPS 2'!$G$33+'MID SEASON CROPS 2'!$G$36+'MID SEASON CROPS 2'!$G$37+'MID SEASON CROPS 2'!$G$38+'MID SEASON CROPS 2'!$G$41</f>
        <v>27</v>
      </c>
      <c r="L14" s="177">
        <f>'LATE SEASON CROPS 3'!$G$17+'LATE SEASON CROPS 3'!$G$18+'LATE SEASON CROPS 3'!$G$22+'LATE SEASON CROPS 3'!$G$23+'LATE SEASON CROPS 3'!$G$29+'LATE SEASON CROPS 3'!$G$30+'LATE SEASON CROPS 3'!$G$33+'LATE SEASON CROPS 3'!$G$36+'LATE SEASON CROPS 3'!$G$37+'LATE SEASON CROPS 3'!$G$38+'LATE SEASON CROPS 3'!$G$41</f>
        <v>2</v>
      </c>
      <c r="N14" s="174">
        <f>I14*(J14+K14+L14)</f>
        <v>609</v>
      </c>
    </row>
    <row r="15" spans="2:16" ht="39.950000000000003" customHeight="1" thickTop="1" thickBot="1">
      <c r="B15" s="178"/>
      <c r="C15" s="178"/>
      <c r="D15" s="178"/>
      <c r="E15" s="178"/>
      <c r="F15" s="178"/>
      <c r="G15" s="178"/>
      <c r="H15" s="178"/>
      <c r="I15" s="179" t="s">
        <v>427</v>
      </c>
      <c r="J15" s="180">
        <f>($I$12*J12)+($I$13*J13)+($I$14*J14)</f>
        <v>287</v>
      </c>
      <c r="K15" s="180">
        <f t="shared" ref="K15:L15" si="0">($I$12*K12)+($I$13*K13)+($I$14*K14)</f>
        <v>1156</v>
      </c>
      <c r="L15" s="180">
        <f t="shared" si="0"/>
        <v>281</v>
      </c>
      <c r="M15" s="181" t="s">
        <v>429</v>
      </c>
      <c r="N15" s="182">
        <f>SUM(N12:N14)</f>
        <v>1724</v>
      </c>
    </row>
    <row r="16" spans="2:16" ht="39.75" customHeight="1" thickTop="1" thickBot="1"/>
    <row r="17" spans="2:14" ht="39.950000000000003" customHeight="1" thickBot="1">
      <c r="B17" s="612" t="s">
        <v>424</v>
      </c>
      <c r="C17" s="613"/>
      <c r="D17" s="589">
        <f>SUM(J15:L15)</f>
        <v>1724</v>
      </c>
      <c r="E17" s="184"/>
      <c r="F17" s="184"/>
      <c r="I17" s="184"/>
      <c r="J17" s="184"/>
      <c r="K17" s="184"/>
      <c r="L17" s="184"/>
      <c r="M17" s="185"/>
      <c r="N17" s="185"/>
    </row>
    <row r="18" spans="2:14" ht="39.950000000000003" customHeight="1" thickTop="1" thickBot="1">
      <c r="B18" s="590" t="s">
        <v>605</v>
      </c>
      <c r="C18" s="593">
        <f>D7</f>
        <v>40</v>
      </c>
      <c r="D18" s="183">
        <f>D17/C18</f>
        <v>43.1</v>
      </c>
      <c r="E18" s="186"/>
      <c r="F18" s="186"/>
      <c r="G18" s="186"/>
      <c r="H18" s="186"/>
      <c r="I18" s="186"/>
      <c r="J18" s="186"/>
      <c r="K18" s="186"/>
      <c r="L18" s="186"/>
      <c r="M18" s="187"/>
      <c r="N18" s="187"/>
    </row>
    <row r="19" spans="2:14" ht="39.950000000000003" customHeight="1" thickTop="1" thickBot="1">
      <c r="B19" s="607" t="s">
        <v>371</v>
      </c>
      <c r="C19" s="608"/>
      <c r="D19" s="592">
        <f>D18/5</f>
        <v>8.620000000000001</v>
      </c>
      <c r="E19" s="186"/>
      <c r="F19" s="186"/>
      <c r="G19" s="186"/>
      <c r="H19" s="186"/>
      <c r="I19" s="186"/>
      <c r="J19" s="186"/>
      <c r="K19" s="186"/>
      <c r="M19" s="187"/>
      <c r="N19" s="187"/>
    </row>
    <row r="20" spans="2:14" ht="39.950000000000003" customHeight="1" thickTop="1" thickBot="1">
      <c r="B20" s="188" t="s">
        <v>430</v>
      </c>
      <c r="C20" s="189">
        <f>$D$5</f>
        <v>9</v>
      </c>
      <c r="D20" s="190">
        <f>D17*C20</f>
        <v>15516</v>
      </c>
      <c r="E20" s="186"/>
      <c r="F20" s="186"/>
      <c r="G20" s="186"/>
      <c r="H20" s="186"/>
      <c r="I20" s="186"/>
      <c r="J20" s="186"/>
      <c r="K20" s="186"/>
      <c r="L20" s="186"/>
      <c r="M20" s="187"/>
      <c r="N20" s="187"/>
    </row>
    <row r="21" spans="2:14" ht="39.950000000000003" customHeight="1" thickTop="1" thickBot="1">
      <c r="B21" s="188" t="s">
        <v>570</v>
      </c>
      <c r="C21" s="191">
        <f>D6</f>
        <v>0.5</v>
      </c>
      <c r="D21" s="190">
        <f>(N15*D6)*D5</f>
        <v>7758</v>
      </c>
      <c r="E21" s="186"/>
      <c r="F21" s="186"/>
      <c r="G21" s="186"/>
      <c r="H21" s="186"/>
      <c r="I21" s="186"/>
      <c r="J21" s="186"/>
      <c r="K21" s="186"/>
      <c r="L21" s="186"/>
      <c r="M21" s="187"/>
      <c r="N21" s="187"/>
    </row>
    <row r="22" spans="2:14" ht="39.950000000000003" customHeight="1" thickTop="1" thickBot="1">
      <c r="B22" s="188" t="s">
        <v>571</v>
      </c>
      <c r="C22" s="191">
        <f>1-C21</f>
        <v>0.5</v>
      </c>
      <c r="D22" s="190">
        <f>D20*C22</f>
        <v>7758</v>
      </c>
      <c r="E22" s="186"/>
      <c r="F22" s="186"/>
      <c r="G22" s="186"/>
      <c r="H22" s="186"/>
      <c r="I22" s="186"/>
      <c r="J22" s="186"/>
      <c r="K22" s="186"/>
      <c r="L22" s="186"/>
      <c r="M22" s="187"/>
      <c r="N22" s="187"/>
    </row>
    <row r="23" spans="2:14" ht="45.75" customHeight="1" thickTop="1">
      <c r="B23" s="609" t="s">
        <v>589</v>
      </c>
      <c r="C23" s="609"/>
      <c r="D23" s="609"/>
      <c r="E23" s="609"/>
      <c r="F23" s="609"/>
      <c r="G23" s="609"/>
      <c r="H23" s="609"/>
      <c r="I23" s="609"/>
      <c r="J23" s="609"/>
      <c r="K23" s="609"/>
      <c r="L23" s="609"/>
      <c r="M23" s="609"/>
      <c r="N23" s="609"/>
    </row>
    <row r="24" spans="2:14" ht="39.950000000000003" customHeight="1">
      <c r="C24" s="184"/>
      <c r="D24" s="184"/>
      <c r="E24" s="184"/>
      <c r="F24" s="184"/>
      <c r="G24" s="184"/>
      <c r="H24" s="184"/>
      <c r="I24" s="184"/>
      <c r="J24" s="184"/>
      <c r="K24" s="184"/>
      <c r="L24" s="184"/>
      <c r="M24" s="185"/>
      <c r="N24" s="185"/>
    </row>
    <row r="25" spans="2:14" ht="18" customHeight="1">
      <c r="B25" s="353" t="s">
        <v>366</v>
      </c>
      <c r="C25" s="192"/>
      <c r="D25" s="192"/>
      <c r="E25" s="192"/>
      <c r="F25" s="192"/>
      <c r="G25" s="192"/>
      <c r="H25" s="192"/>
      <c r="I25" s="192"/>
      <c r="J25" s="192"/>
      <c r="K25" s="192"/>
      <c r="L25" s="192"/>
      <c r="M25" s="193"/>
      <c r="N25" s="193"/>
    </row>
    <row r="26" spans="2:14" ht="18" customHeight="1">
      <c r="B26" s="354" t="s">
        <v>296</v>
      </c>
    </row>
    <row r="27" spans="2:14" ht="18" customHeight="1">
      <c r="B27" s="354" t="s">
        <v>367</v>
      </c>
    </row>
    <row r="28" spans="2:14" ht="18" customHeight="1">
      <c r="B28" s="354" t="s">
        <v>368</v>
      </c>
    </row>
    <row r="29" spans="2:14" ht="18" customHeight="1">
      <c r="B29" s="354" t="s">
        <v>336</v>
      </c>
    </row>
    <row r="30" spans="2:14" ht="18" customHeight="1">
      <c r="B30" s="355" t="s">
        <v>397</v>
      </c>
    </row>
    <row r="31" spans="2:14" ht="18" customHeight="1">
      <c r="B31" s="355" t="s">
        <v>370</v>
      </c>
    </row>
    <row r="32" spans="2:14" ht="33" customHeight="1">
      <c r="B32" s="606" t="s">
        <v>398</v>
      </c>
      <c r="C32" s="606"/>
      <c r="D32" s="606"/>
      <c r="E32" s="606"/>
      <c r="F32" s="606"/>
      <c r="G32" s="606"/>
      <c r="H32" s="606"/>
      <c r="I32" s="606"/>
      <c r="J32" s="606"/>
      <c r="K32" s="606"/>
      <c r="L32" s="606"/>
      <c r="M32" s="606"/>
      <c r="N32" s="606"/>
    </row>
    <row r="34" spans="3:4">
      <c r="C34" s="194" t="s">
        <v>365</v>
      </c>
      <c r="D34" s="146" t="s">
        <v>287</v>
      </c>
    </row>
  </sheetData>
  <mergeCells count="5">
    <mergeCell ref="B32:N32"/>
    <mergeCell ref="B19:C19"/>
    <mergeCell ref="B23:N23"/>
    <mergeCell ref="C10:G10"/>
    <mergeCell ref="B17:C17"/>
  </mergeCells>
  <dataValidations count="1">
    <dataValidation type="whole" operator="greaterThanOrEqual" allowBlank="1" showInputMessage="1" showErrorMessage="1" sqref="D5:D7">
      <formula1>0</formula1>
    </dataValidation>
  </dataValidations>
  <hyperlinks>
    <hyperlink ref="D34" r:id="rId1"/>
    <hyperlink ref="B4" location="'Market Garden Budget'!A1" display="return to budget page"/>
  </hyperlinks>
  <pageMargins left="0.7" right="0.7" top="0.75" bottom="0.75" header="0.3" footer="0.3"/>
  <pageSetup scale="3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2"/>
  <sheetViews>
    <sheetView showZeros="0" zoomScale="50" zoomScaleNormal="50" workbookViewId="0">
      <selection activeCell="G14" sqref="G14"/>
    </sheetView>
  </sheetViews>
  <sheetFormatPr defaultRowHeight="14.25"/>
  <cols>
    <col min="1" max="1" width="9.140625" style="52"/>
    <col min="2" max="6" width="31.140625" style="52" customWidth="1"/>
    <col min="7" max="8" width="15.42578125" style="52" customWidth="1"/>
    <col min="9" max="13" width="31.140625" style="52" customWidth="1"/>
    <col min="14" max="14" width="16.28515625" style="52" customWidth="1"/>
    <col min="15" max="16384" width="9.140625" style="52"/>
  </cols>
  <sheetData>
    <row r="2" spans="2:13" ht="17.25" customHeight="1"/>
    <row r="3" spans="2:13" ht="23.25">
      <c r="B3" s="412" t="s">
        <v>496</v>
      </c>
      <c r="F3" s="561"/>
      <c r="I3" s="412" t="s">
        <v>497</v>
      </c>
    </row>
    <row r="4" spans="2:13" ht="18" customHeight="1">
      <c r="B4" s="358" t="s">
        <v>552</v>
      </c>
      <c r="I4" s="358" t="s">
        <v>552</v>
      </c>
    </row>
    <row r="5" spans="2:13" ht="18" customHeight="1">
      <c r="B5" s="139" t="s">
        <v>578</v>
      </c>
      <c r="I5" s="144"/>
    </row>
    <row r="6" spans="2:13" ht="27" customHeight="1">
      <c r="I6" s="52" t="s">
        <v>559</v>
      </c>
    </row>
    <row r="7" spans="2:13" ht="21" thickBot="1">
      <c r="B7" s="560" t="s">
        <v>462</v>
      </c>
      <c r="C7" s="142" t="s">
        <v>577</v>
      </c>
      <c r="D7" s="142" t="s">
        <v>162</v>
      </c>
      <c r="E7" s="142" t="s">
        <v>591</v>
      </c>
      <c r="F7" s="142" t="s">
        <v>465</v>
      </c>
      <c r="I7" s="560" t="s">
        <v>462</v>
      </c>
      <c r="J7" s="142" t="s">
        <v>577</v>
      </c>
      <c r="K7" s="142" t="s">
        <v>162</v>
      </c>
      <c r="L7" s="142" t="s">
        <v>591</v>
      </c>
      <c r="M7" s="142" t="s">
        <v>465</v>
      </c>
    </row>
    <row r="8" spans="2:13" ht="18">
      <c r="B8" s="361" t="str">
        <f>C55</f>
        <v>imidacloprid</v>
      </c>
      <c r="C8" s="548">
        <v>7</v>
      </c>
      <c r="D8" s="549" t="str">
        <f>E55</f>
        <v>OZ</v>
      </c>
      <c r="E8" s="548">
        <v>1</v>
      </c>
      <c r="F8" s="434">
        <f t="shared" ref="F8:F13" si="0">C8*G55*E8</f>
        <v>21.875</v>
      </c>
      <c r="I8" s="553" t="str">
        <f>J55</f>
        <v>petroleum Oil</v>
      </c>
      <c r="J8" s="548">
        <v>256</v>
      </c>
      <c r="K8" s="549" t="str">
        <f>L55</f>
        <v>OZ</v>
      </c>
      <c r="L8" s="548">
        <v>0</v>
      </c>
      <c r="M8" s="434">
        <f t="shared" ref="M8:M17" si="1">J8*N55*L8</f>
        <v>0</v>
      </c>
    </row>
    <row r="9" spans="2:13" ht="18">
      <c r="B9" s="361" t="str">
        <f t="shared" ref="B9:B17" si="2">C56</f>
        <v>spinosad</v>
      </c>
      <c r="C9" s="426">
        <v>3</v>
      </c>
      <c r="D9" s="549" t="str">
        <f t="shared" ref="D9:D17" si="3">E56</f>
        <v>OZ</v>
      </c>
      <c r="E9" s="426">
        <v>1</v>
      </c>
      <c r="F9" s="434">
        <f t="shared" si="0"/>
        <v>4.2857142857142856</v>
      </c>
      <c r="I9" s="553" t="str">
        <f t="shared" ref="I9:I17" si="4">J56</f>
        <v>neem Oil</v>
      </c>
      <c r="J9" s="426">
        <v>256</v>
      </c>
      <c r="K9" s="549" t="str">
        <f t="shared" ref="K9:K17" si="5">L56</f>
        <v>OZ</v>
      </c>
      <c r="L9" s="426">
        <v>0</v>
      </c>
      <c r="M9" s="434">
        <f t="shared" si="1"/>
        <v>0</v>
      </c>
    </row>
    <row r="10" spans="2:13" ht="18">
      <c r="B10" s="361" t="str">
        <f t="shared" si="2"/>
        <v>b-cyfluthrin</v>
      </c>
      <c r="C10" s="426">
        <v>1.5</v>
      </c>
      <c r="D10" s="549" t="str">
        <f t="shared" si="3"/>
        <v>OZ</v>
      </c>
      <c r="E10" s="426">
        <v>1</v>
      </c>
      <c r="F10" s="434">
        <f t="shared" si="0"/>
        <v>7.5</v>
      </c>
      <c r="I10" s="553" t="str">
        <f t="shared" si="4"/>
        <v>potassium salts, fatty acid</v>
      </c>
      <c r="J10" s="426">
        <v>256</v>
      </c>
      <c r="K10" s="549" t="str">
        <f t="shared" si="5"/>
        <v>OZ</v>
      </c>
      <c r="L10" s="426"/>
      <c r="M10" s="434">
        <f t="shared" si="1"/>
        <v>0</v>
      </c>
    </row>
    <row r="11" spans="2:13" ht="18">
      <c r="B11" s="361" t="str">
        <f t="shared" si="2"/>
        <v>acetamiprid</v>
      </c>
      <c r="C11" s="426">
        <v>3</v>
      </c>
      <c r="D11" s="549" t="str">
        <f t="shared" si="3"/>
        <v>OZ</v>
      </c>
      <c r="E11" s="426">
        <v>1</v>
      </c>
      <c r="F11" s="434">
        <f t="shared" si="0"/>
        <v>14.0625</v>
      </c>
      <c r="I11" s="553" t="str">
        <f t="shared" si="4"/>
        <v>spinosad</v>
      </c>
      <c r="J11" s="426">
        <v>3</v>
      </c>
      <c r="K11" s="549" t="str">
        <f t="shared" si="5"/>
        <v>OZ</v>
      </c>
      <c r="L11" s="426">
        <v>0</v>
      </c>
      <c r="M11" s="434">
        <f t="shared" si="1"/>
        <v>0</v>
      </c>
    </row>
    <row r="12" spans="2:13" ht="18">
      <c r="B12" s="361" t="str">
        <f t="shared" si="2"/>
        <v>abamectin</v>
      </c>
      <c r="C12" s="426">
        <v>3</v>
      </c>
      <c r="D12" s="549" t="str">
        <f t="shared" si="3"/>
        <v>OZ</v>
      </c>
      <c r="E12" s="426">
        <v>1</v>
      </c>
      <c r="F12" s="432">
        <f t="shared" si="0"/>
        <v>30</v>
      </c>
      <c r="I12" s="553" t="str">
        <f t="shared" si="4"/>
        <v>bacillus thurengensis</v>
      </c>
      <c r="J12" s="426">
        <v>16</v>
      </c>
      <c r="K12" s="549" t="str">
        <f t="shared" si="5"/>
        <v>OZ</v>
      </c>
      <c r="L12" s="426">
        <v>0</v>
      </c>
      <c r="M12" s="432">
        <f t="shared" si="1"/>
        <v>0</v>
      </c>
    </row>
    <row r="13" spans="2:13" ht="18">
      <c r="B13" s="361" t="str">
        <f t="shared" si="2"/>
        <v>spinetoram</v>
      </c>
      <c r="C13" s="426">
        <v>10</v>
      </c>
      <c r="D13" s="549" t="str">
        <f t="shared" si="3"/>
        <v>OZ</v>
      </c>
      <c r="E13" s="426">
        <v>1</v>
      </c>
      <c r="F13" s="432">
        <f t="shared" si="0"/>
        <v>62.5</v>
      </c>
      <c r="I13" s="553" t="str">
        <f t="shared" si="4"/>
        <v>pyrethrins</v>
      </c>
      <c r="J13" s="426">
        <v>16</v>
      </c>
      <c r="K13" s="549" t="str">
        <f t="shared" si="5"/>
        <v>OZ</v>
      </c>
      <c r="L13" s="426">
        <v>0</v>
      </c>
      <c r="M13" s="432">
        <f t="shared" si="1"/>
        <v>0</v>
      </c>
    </row>
    <row r="14" spans="2:13" ht="18">
      <c r="B14" s="361">
        <f t="shared" si="2"/>
        <v>0</v>
      </c>
      <c r="C14" s="426"/>
      <c r="D14" s="549">
        <f t="shared" si="3"/>
        <v>0</v>
      </c>
      <c r="E14" s="426"/>
      <c r="F14" s="432"/>
      <c r="I14" s="553">
        <f t="shared" si="4"/>
        <v>0</v>
      </c>
      <c r="J14" s="426"/>
      <c r="K14" s="549">
        <f>L61</f>
        <v>0</v>
      </c>
      <c r="L14" s="426"/>
      <c r="M14" s="432">
        <f t="shared" si="1"/>
        <v>0</v>
      </c>
    </row>
    <row r="15" spans="2:13" ht="18">
      <c r="B15" s="361">
        <f t="shared" si="2"/>
        <v>0</v>
      </c>
      <c r="C15" s="426"/>
      <c r="D15" s="549">
        <f t="shared" si="3"/>
        <v>0</v>
      </c>
      <c r="E15" s="426"/>
      <c r="F15" s="432"/>
      <c r="I15" s="553">
        <f t="shared" si="4"/>
        <v>0</v>
      </c>
      <c r="J15" s="426"/>
      <c r="K15" s="549">
        <f t="shared" si="5"/>
        <v>0</v>
      </c>
      <c r="L15" s="426"/>
      <c r="M15" s="432">
        <f t="shared" si="1"/>
        <v>0</v>
      </c>
    </row>
    <row r="16" spans="2:13" ht="18">
      <c r="B16" s="361">
        <f t="shared" si="2"/>
        <v>0</v>
      </c>
      <c r="C16" s="426"/>
      <c r="D16" s="549">
        <f t="shared" si="3"/>
        <v>0</v>
      </c>
      <c r="E16" s="426"/>
      <c r="F16" s="432"/>
      <c r="I16" s="553">
        <f t="shared" si="4"/>
        <v>0</v>
      </c>
      <c r="J16" s="426"/>
      <c r="K16" s="549">
        <f t="shared" si="5"/>
        <v>0</v>
      </c>
      <c r="L16" s="426"/>
      <c r="M16" s="432">
        <f t="shared" si="1"/>
        <v>0</v>
      </c>
    </row>
    <row r="17" spans="2:13" ht="18.75" thickBot="1">
      <c r="B17" s="550">
        <f t="shared" si="2"/>
        <v>0</v>
      </c>
      <c r="C17" s="494"/>
      <c r="D17" s="551">
        <f t="shared" si="3"/>
        <v>0</v>
      </c>
      <c r="E17" s="494"/>
      <c r="F17" s="552"/>
      <c r="I17" s="554">
        <f t="shared" si="4"/>
        <v>0</v>
      </c>
      <c r="J17" s="494"/>
      <c r="K17" s="551">
        <f t="shared" si="5"/>
        <v>0</v>
      </c>
      <c r="L17" s="494"/>
      <c r="M17" s="555">
        <f t="shared" si="1"/>
        <v>0</v>
      </c>
    </row>
    <row r="18" spans="2:13" ht="15">
      <c r="B18" s="78" t="s">
        <v>429</v>
      </c>
      <c r="F18" s="141">
        <f>SUM(F8:F13)</f>
        <v>140.22321428571428</v>
      </c>
      <c r="I18" s="78" t="s">
        <v>429</v>
      </c>
      <c r="M18" s="141">
        <f>SUM(M8:M13)</f>
        <v>0</v>
      </c>
    </row>
    <row r="19" spans="2:13">
      <c r="B19" s="143"/>
      <c r="D19" s="140"/>
      <c r="I19" s="143"/>
      <c r="K19" s="140"/>
    </row>
    <row r="20" spans="2:13" ht="21" thickBot="1">
      <c r="B20" s="560" t="s">
        <v>463</v>
      </c>
      <c r="C20" s="142" t="s">
        <v>577</v>
      </c>
      <c r="D20" s="142" t="s">
        <v>162</v>
      </c>
      <c r="E20" s="142" t="s">
        <v>591</v>
      </c>
      <c r="F20" s="142" t="s">
        <v>465</v>
      </c>
      <c r="I20" s="560" t="s">
        <v>463</v>
      </c>
      <c r="J20" s="142" t="s">
        <v>577</v>
      </c>
      <c r="K20" s="142" t="s">
        <v>162</v>
      </c>
      <c r="L20" s="142" t="s">
        <v>591</v>
      </c>
      <c r="M20" s="142" t="s">
        <v>465</v>
      </c>
    </row>
    <row r="21" spans="2:13" ht="18">
      <c r="B21" s="434" t="str">
        <f t="shared" ref="B21:B27" si="6">C68</f>
        <v>Azoxystrobin</v>
      </c>
      <c r="C21" s="548">
        <v>12</v>
      </c>
      <c r="D21" s="549" t="str">
        <f>E68</f>
        <v>OZ</v>
      </c>
      <c r="E21" s="548">
        <v>1</v>
      </c>
      <c r="F21" s="434">
        <f>C21*G68*E21</f>
        <v>18.75</v>
      </c>
      <c r="I21" s="553" t="str">
        <f>J68</f>
        <v>Sulfur</v>
      </c>
      <c r="J21" s="548">
        <v>20</v>
      </c>
      <c r="K21" s="549" t="str">
        <f>L68</f>
        <v>LBS</v>
      </c>
      <c r="L21" s="548">
        <v>0</v>
      </c>
      <c r="M21" s="434">
        <f t="shared" ref="M21:M27" si="7">J21*N68*L21</f>
        <v>0</v>
      </c>
    </row>
    <row r="22" spans="2:13" ht="18">
      <c r="B22" s="434" t="str">
        <f t="shared" si="6"/>
        <v>Chlorothalonil</v>
      </c>
      <c r="C22" s="426">
        <v>32</v>
      </c>
      <c r="D22" s="549" t="str">
        <f t="shared" ref="D22:D27" si="8">E69</f>
        <v>OZ</v>
      </c>
      <c r="E22" s="426">
        <v>1</v>
      </c>
      <c r="F22" s="434">
        <f>C22*G69*E22</f>
        <v>7.5</v>
      </c>
      <c r="I22" s="553" t="str">
        <f t="shared" ref="I22:I27" si="9">J69</f>
        <v>Copper hydroxide</v>
      </c>
      <c r="J22" s="426">
        <v>3</v>
      </c>
      <c r="K22" s="549" t="str">
        <f t="shared" ref="K22:K27" si="10">L69</f>
        <v>LBS</v>
      </c>
      <c r="L22" s="426">
        <v>0</v>
      </c>
      <c r="M22" s="434">
        <f t="shared" si="7"/>
        <v>0</v>
      </c>
    </row>
    <row r="23" spans="2:13" ht="18">
      <c r="B23" s="434" t="str">
        <f t="shared" si="6"/>
        <v>Mefonoxam</v>
      </c>
      <c r="C23" s="426">
        <v>8</v>
      </c>
      <c r="D23" s="549" t="str">
        <f t="shared" si="8"/>
        <v>OZ</v>
      </c>
      <c r="E23" s="426">
        <v>1</v>
      </c>
      <c r="F23" s="432">
        <f>C23*G70*E23</f>
        <v>40</v>
      </c>
      <c r="I23" s="553">
        <f t="shared" si="9"/>
        <v>0</v>
      </c>
      <c r="J23" s="426"/>
      <c r="K23" s="549">
        <f t="shared" si="10"/>
        <v>0</v>
      </c>
      <c r="L23" s="426"/>
      <c r="M23" s="434">
        <f t="shared" si="7"/>
        <v>0</v>
      </c>
    </row>
    <row r="24" spans="2:13" ht="18">
      <c r="B24" s="556">
        <f t="shared" si="6"/>
        <v>0</v>
      </c>
      <c r="C24" s="426"/>
      <c r="D24" s="549">
        <f t="shared" si="8"/>
        <v>0</v>
      </c>
      <c r="E24" s="426"/>
      <c r="F24" s="432"/>
      <c r="I24" s="553">
        <f t="shared" si="9"/>
        <v>0</v>
      </c>
      <c r="J24" s="426"/>
      <c r="K24" s="549">
        <f t="shared" si="10"/>
        <v>0</v>
      </c>
      <c r="L24" s="426"/>
      <c r="M24" s="434">
        <f t="shared" si="7"/>
        <v>0</v>
      </c>
    </row>
    <row r="25" spans="2:13" ht="18">
      <c r="B25" s="556">
        <f t="shared" si="6"/>
        <v>0</v>
      </c>
      <c r="C25" s="426"/>
      <c r="D25" s="549">
        <f t="shared" si="8"/>
        <v>0</v>
      </c>
      <c r="E25" s="426"/>
      <c r="F25" s="432"/>
      <c r="I25" s="553">
        <f t="shared" si="9"/>
        <v>0</v>
      </c>
      <c r="J25" s="426"/>
      <c r="K25" s="549">
        <f t="shared" si="10"/>
        <v>0</v>
      </c>
      <c r="L25" s="426"/>
      <c r="M25" s="434">
        <f t="shared" si="7"/>
        <v>0</v>
      </c>
    </row>
    <row r="26" spans="2:13" ht="18">
      <c r="B26" s="556">
        <f t="shared" si="6"/>
        <v>0</v>
      </c>
      <c r="C26" s="426"/>
      <c r="D26" s="549">
        <f t="shared" si="8"/>
        <v>0</v>
      </c>
      <c r="E26" s="426"/>
      <c r="F26" s="432"/>
      <c r="I26" s="558">
        <f t="shared" si="9"/>
        <v>0</v>
      </c>
      <c r="J26" s="426"/>
      <c r="K26" s="559">
        <f t="shared" si="10"/>
        <v>0</v>
      </c>
      <c r="L26" s="426"/>
      <c r="M26" s="434">
        <f t="shared" si="7"/>
        <v>0</v>
      </c>
    </row>
    <row r="27" spans="2:13" ht="18.75" thickBot="1">
      <c r="B27" s="557">
        <f t="shared" si="6"/>
        <v>0</v>
      </c>
      <c r="C27" s="494"/>
      <c r="D27" s="551">
        <f t="shared" si="8"/>
        <v>0</v>
      </c>
      <c r="E27" s="494"/>
      <c r="F27" s="552"/>
      <c r="I27" s="554">
        <f t="shared" si="9"/>
        <v>0</v>
      </c>
      <c r="J27" s="494"/>
      <c r="K27" s="551">
        <f t="shared" si="10"/>
        <v>0</v>
      </c>
      <c r="L27" s="494"/>
      <c r="M27" s="555">
        <f t="shared" si="7"/>
        <v>0</v>
      </c>
    </row>
    <row r="28" spans="2:13" ht="15">
      <c r="B28" s="78" t="s">
        <v>429</v>
      </c>
      <c r="F28" s="141">
        <f>SUM(F21:F23)</f>
        <v>66.25</v>
      </c>
      <c r="I28" s="78" t="s">
        <v>429</v>
      </c>
      <c r="M28" s="141">
        <f>SUM(M21:M23)</f>
        <v>0</v>
      </c>
    </row>
    <row r="30" spans="2:13" ht="21" thickBot="1">
      <c r="B30" s="560" t="s">
        <v>464</v>
      </c>
      <c r="C30" s="142" t="s">
        <v>577</v>
      </c>
      <c r="D30" s="142" t="s">
        <v>162</v>
      </c>
      <c r="E30" s="142" t="s">
        <v>591</v>
      </c>
      <c r="F30" s="142" t="s">
        <v>465</v>
      </c>
      <c r="I30" s="560" t="s">
        <v>517</v>
      </c>
      <c r="J30" s="142" t="s">
        <v>577</v>
      </c>
      <c r="K30" s="142" t="s">
        <v>162</v>
      </c>
      <c r="L30" s="142" t="s">
        <v>591</v>
      </c>
      <c r="M30" s="142" t="s">
        <v>465</v>
      </c>
    </row>
    <row r="31" spans="2:13" ht="18">
      <c r="B31" s="361" t="str">
        <f>C78</f>
        <v>halosulfuron-methyl</v>
      </c>
      <c r="C31" s="548">
        <v>1</v>
      </c>
      <c r="D31" s="549" t="str">
        <f>E78</f>
        <v>OZ</v>
      </c>
      <c r="E31" s="548">
        <v>0.5</v>
      </c>
      <c r="F31" s="434">
        <f>C31*G78*E31</f>
        <v>26.315789473684209</v>
      </c>
      <c r="I31" s="553">
        <f>J78</f>
        <v>0</v>
      </c>
      <c r="J31" s="548"/>
      <c r="K31" s="549">
        <f>L78</f>
        <v>0</v>
      </c>
      <c r="L31" s="548"/>
      <c r="M31" s="434">
        <f t="shared" ref="M31:M39" si="11">J31*N78*L31</f>
        <v>0</v>
      </c>
    </row>
    <row r="32" spans="2:13" ht="18">
      <c r="B32" s="361" t="str">
        <f t="shared" ref="B32:B39" si="12">C79</f>
        <v>glyhposate</v>
      </c>
      <c r="C32" s="426">
        <v>22</v>
      </c>
      <c r="D32" s="549" t="str">
        <f t="shared" ref="D32:D39" si="13">E79</f>
        <v>OZ</v>
      </c>
      <c r="E32" s="426">
        <v>2</v>
      </c>
      <c r="F32" s="434">
        <f>C32*G79*E32</f>
        <v>6.875</v>
      </c>
      <c r="I32" s="553">
        <f t="shared" ref="I32:I39" si="14">J79</f>
        <v>0</v>
      </c>
      <c r="J32" s="426"/>
      <c r="K32" s="549">
        <f t="shared" ref="K32:K39" si="15">L79</f>
        <v>0</v>
      </c>
      <c r="L32" s="426"/>
      <c r="M32" s="434">
        <f t="shared" si="11"/>
        <v>0</v>
      </c>
    </row>
    <row r="33" spans="2:13" ht="18">
      <c r="B33" s="361" t="str">
        <f t="shared" si="12"/>
        <v>s-metolachlor</v>
      </c>
      <c r="C33" s="426">
        <v>12</v>
      </c>
      <c r="D33" s="549" t="str">
        <f t="shared" si="13"/>
        <v>OZ</v>
      </c>
      <c r="E33" s="426">
        <v>0.5</v>
      </c>
      <c r="F33" s="434">
        <f>C33*G80*E33</f>
        <v>5.625</v>
      </c>
      <c r="I33" s="553">
        <f t="shared" si="14"/>
        <v>0</v>
      </c>
      <c r="J33" s="426"/>
      <c r="K33" s="549">
        <f t="shared" si="15"/>
        <v>0</v>
      </c>
      <c r="L33" s="426"/>
      <c r="M33" s="434">
        <f t="shared" si="11"/>
        <v>0</v>
      </c>
    </row>
    <row r="34" spans="2:13" ht="18">
      <c r="B34" s="361" t="str">
        <f t="shared" si="12"/>
        <v>pendamethalin</v>
      </c>
      <c r="C34" s="426">
        <v>32</v>
      </c>
      <c r="D34" s="549" t="str">
        <f t="shared" si="13"/>
        <v>OZ</v>
      </c>
      <c r="E34" s="426">
        <v>0.5</v>
      </c>
      <c r="F34" s="434">
        <f>C34*G81*E34</f>
        <v>6.5</v>
      </c>
      <c r="I34" s="553">
        <f t="shared" si="14"/>
        <v>0</v>
      </c>
      <c r="J34" s="426"/>
      <c r="K34" s="549">
        <f t="shared" si="15"/>
        <v>0</v>
      </c>
      <c r="L34" s="426"/>
      <c r="M34" s="434">
        <f t="shared" si="11"/>
        <v>0</v>
      </c>
    </row>
    <row r="35" spans="2:13" ht="18">
      <c r="B35" s="361" t="str">
        <f t="shared" si="12"/>
        <v>fomesafen</v>
      </c>
      <c r="C35" s="426">
        <v>16</v>
      </c>
      <c r="D35" s="549" t="str">
        <f t="shared" si="13"/>
        <v>OZ</v>
      </c>
      <c r="E35" s="426">
        <v>0.5</v>
      </c>
      <c r="F35" s="432">
        <f>C35*G82*E35</f>
        <v>6.25</v>
      </c>
      <c r="I35" s="553">
        <f t="shared" si="14"/>
        <v>0</v>
      </c>
      <c r="J35" s="426"/>
      <c r="K35" s="549">
        <f t="shared" si="15"/>
        <v>0</v>
      </c>
      <c r="L35" s="426"/>
      <c r="M35" s="434">
        <f t="shared" si="11"/>
        <v>0</v>
      </c>
    </row>
    <row r="36" spans="2:13" ht="18">
      <c r="B36" s="361">
        <f t="shared" si="12"/>
        <v>0</v>
      </c>
      <c r="C36" s="426"/>
      <c r="D36" s="549">
        <f t="shared" si="13"/>
        <v>0</v>
      </c>
      <c r="E36" s="426"/>
      <c r="F36" s="432"/>
      <c r="I36" s="553">
        <f t="shared" si="14"/>
        <v>0</v>
      </c>
      <c r="J36" s="426"/>
      <c r="K36" s="549">
        <f t="shared" si="15"/>
        <v>0</v>
      </c>
      <c r="L36" s="426"/>
      <c r="M36" s="434">
        <f t="shared" si="11"/>
        <v>0</v>
      </c>
    </row>
    <row r="37" spans="2:13" ht="18">
      <c r="B37" s="361">
        <f t="shared" si="12"/>
        <v>0</v>
      </c>
      <c r="C37" s="426"/>
      <c r="D37" s="549">
        <f t="shared" si="13"/>
        <v>0</v>
      </c>
      <c r="E37" s="426"/>
      <c r="F37" s="432"/>
      <c r="I37" s="553">
        <f t="shared" si="14"/>
        <v>0</v>
      </c>
      <c r="J37" s="426"/>
      <c r="K37" s="549">
        <f t="shared" si="15"/>
        <v>0</v>
      </c>
      <c r="L37" s="426"/>
      <c r="M37" s="434">
        <f t="shared" si="11"/>
        <v>0</v>
      </c>
    </row>
    <row r="38" spans="2:13" ht="18">
      <c r="B38" s="361">
        <f t="shared" si="12"/>
        <v>0</v>
      </c>
      <c r="C38" s="426"/>
      <c r="D38" s="549">
        <f t="shared" si="13"/>
        <v>0</v>
      </c>
      <c r="E38" s="426"/>
      <c r="F38" s="432"/>
      <c r="I38" s="553">
        <f t="shared" si="14"/>
        <v>0</v>
      </c>
      <c r="J38" s="426"/>
      <c r="K38" s="549">
        <f t="shared" si="15"/>
        <v>0</v>
      </c>
      <c r="L38" s="426"/>
      <c r="M38" s="434">
        <f t="shared" si="11"/>
        <v>0</v>
      </c>
    </row>
    <row r="39" spans="2:13" ht="18.75" thickBot="1">
      <c r="B39" s="550">
        <f t="shared" si="12"/>
        <v>0</v>
      </c>
      <c r="C39" s="494"/>
      <c r="D39" s="551">
        <f t="shared" si="13"/>
        <v>0</v>
      </c>
      <c r="E39" s="494"/>
      <c r="F39" s="552"/>
      <c r="I39" s="554">
        <f t="shared" si="14"/>
        <v>0</v>
      </c>
      <c r="J39" s="494"/>
      <c r="K39" s="551">
        <f t="shared" si="15"/>
        <v>0</v>
      </c>
      <c r="L39" s="494"/>
      <c r="M39" s="555">
        <f t="shared" si="11"/>
        <v>0</v>
      </c>
    </row>
    <row r="40" spans="2:13" ht="15">
      <c r="B40" s="78" t="s">
        <v>429</v>
      </c>
      <c r="F40" s="141">
        <f>SUM(F31:F35)</f>
        <v>51.565789473684205</v>
      </c>
      <c r="I40" s="78" t="s">
        <v>429</v>
      </c>
      <c r="M40" s="141">
        <f>SUM(M31:M35)</f>
        <v>0</v>
      </c>
    </row>
    <row r="42" spans="2:13" ht="18">
      <c r="B42" s="138" t="s">
        <v>518</v>
      </c>
      <c r="F42" s="145">
        <f>F18+F28+F40</f>
        <v>258.0390037593985</v>
      </c>
      <c r="I42" s="138" t="s">
        <v>518</v>
      </c>
      <c r="M42" s="145">
        <f>M18+M28+M40</f>
        <v>0</v>
      </c>
    </row>
    <row r="43" spans="2:13" ht="18">
      <c r="B43" s="138"/>
      <c r="F43" s="145"/>
      <c r="I43" s="138"/>
      <c r="M43" s="145"/>
    </row>
    <row r="44" spans="2:13">
      <c r="B44" s="52" t="s">
        <v>541</v>
      </c>
    </row>
    <row r="45" spans="2:13">
      <c r="B45" s="52" t="s">
        <v>537</v>
      </c>
    </row>
    <row r="46" spans="2:13">
      <c r="B46" s="52" t="s">
        <v>592</v>
      </c>
    </row>
    <row r="47" spans="2:13">
      <c r="B47" s="52" t="s">
        <v>494</v>
      </c>
    </row>
    <row r="48" spans="2:13">
      <c r="B48" s="52" t="s">
        <v>593</v>
      </c>
    </row>
    <row r="50" spans="2:14">
      <c r="B50" s="53" t="s">
        <v>453</v>
      </c>
    </row>
    <row r="51" spans="2:14">
      <c r="B51" s="53" t="s">
        <v>495</v>
      </c>
    </row>
    <row r="53" spans="2:14" ht="20.25">
      <c r="B53" s="450" t="s">
        <v>579</v>
      </c>
      <c r="I53" s="450" t="s">
        <v>580</v>
      </c>
    </row>
    <row r="54" spans="2:14" ht="18.75" thickBot="1">
      <c r="B54" s="583" t="s">
        <v>475</v>
      </c>
      <c r="C54" s="583" t="s">
        <v>476</v>
      </c>
      <c r="D54" s="584" t="s">
        <v>470</v>
      </c>
      <c r="E54" s="584" t="s">
        <v>162</v>
      </c>
      <c r="F54" s="584" t="s">
        <v>503</v>
      </c>
      <c r="G54" s="583" t="s">
        <v>504</v>
      </c>
      <c r="H54" s="361"/>
      <c r="I54" s="583" t="s">
        <v>475</v>
      </c>
      <c r="J54" s="583" t="s">
        <v>476</v>
      </c>
      <c r="K54" s="583" t="s">
        <v>470</v>
      </c>
      <c r="L54" s="583" t="s">
        <v>162</v>
      </c>
      <c r="M54" s="583" t="s">
        <v>503</v>
      </c>
      <c r="N54" s="583" t="s">
        <v>504</v>
      </c>
    </row>
    <row r="55" spans="2:14" ht="18">
      <c r="B55" s="562" t="s">
        <v>469</v>
      </c>
      <c r="C55" s="563" t="s">
        <v>458</v>
      </c>
      <c r="D55" s="532">
        <v>100</v>
      </c>
      <c r="E55" s="532" t="s">
        <v>466</v>
      </c>
      <c r="F55" s="564">
        <v>32</v>
      </c>
      <c r="G55" s="565">
        <f t="shared" ref="G55:G60" si="16">D55/F55</f>
        <v>3.125</v>
      </c>
      <c r="H55" s="361"/>
      <c r="I55" s="562" t="s">
        <v>515</v>
      </c>
      <c r="J55" s="566" t="s">
        <v>595</v>
      </c>
      <c r="K55" s="532">
        <v>70</v>
      </c>
      <c r="L55" s="532" t="s">
        <v>466</v>
      </c>
      <c r="M55" s="563">
        <v>320</v>
      </c>
      <c r="N55" s="567">
        <f>IF(K55=0,0,K55/M55)</f>
        <v>0.21875</v>
      </c>
    </row>
    <row r="56" spans="2:14" ht="18">
      <c r="B56" s="568" t="s">
        <v>468</v>
      </c>
      <c r="C56" s="569" t="s">
        <v>457</v>
      </c>
      <c r="D56" s="534">
        <v>200</v>
      </c>
      <c r="E56" s="534" t="s">
        <v>466</v>
      </c>
      <c r="F56" s="570">
        <v>140</v>
      </c>
      <c r="G56" s="571">
        <f t="shared" si="16"/>
        <v>1.4285714285714286</v>
      </c>
      <c r="H56" s="361"/>
      <c r="I56" s="568" t="s">
        <v>514</v>
      </c>
      <c r="J56" s="572" t="s">
        <v>514</v>
      </c>
      <c r="K56" s="534">
        <v>175</v>
      </c>
      <c r="L56" s="534" t="s">
        <v>466</v>
      </c>
      <c r="M56" s="569">
        <v>320</v>
      </c>
      <c r="N56" s="573">
        <f t="shared" ref="N56:N86" si="17">IF(K56=0,0,K56/M56)</f>
        <v>0.546875</v>
      </c>
    </row>
    <row r="57" spans="2:14" ht="18">
      <c r="B57" s="568" t="s">
        <v>471</v>
      </c>
      <c r="C57" s="569" t="s">
        <v>467</v>
      </c>
      <c r="D57" s="534">
        <v>40</v>
      </c>
      <c r="E57" s="534" t="s">
        <v>466</v>
      </c>
      <c r="F57" s="570">
        <v>8</v>
      </c>
      <c r="G57" s="571">
        <f t="shared" si="16"/>
        <v>5</v>
      </c>
      <c r="H57" s="361"/>
      <c r="I57" s="568" t="s">
        <v>516</v>
      </c>
      <c r="J57" s="572" t="s">
        <v>594</v>
      </c>
      <c r="K57" s="534">
        <v>100</v>
      </c>
      <c r="L57" s="534" t="s">
        <v>466</v>
      </c>
      <c r="M57" s="569">
        <v>320</v>
      </c>
      <c r="N57" s="573">
        <f t="shared" si="17"/>
        <v>0.3125</v>
      </c>
    </row>
    <row r="58" spans="2:14" ht="18">
      <c r="B58" s="568" t="s">
        <v>472</v>
      </c>
      <c r="C58" s="569" t="s">
        <v>459</v>
      </c>
      <c r="D58" s="534">
        <v>300</v>
      </c>
      <c r="E58" s="534" t="s">
        <v>466</v>
      </c>
      <c r="F58" s="570">
        <v>64</v>
      </c>
      <c r="G58" s="571">
        <f t="shared" si="16"/>
        <v>4.6875</v>
      </c>
      <c r="H58" s="361"/>
      <c r="I58" s="568" t="s">
        <v>500</v>
      </c>
      <c r="J58" s="572" t="s">
        <v>457</v>
      </c>
      <c r="K58" s="534">
        <v>400</v>
      </c>
      <c r="L58" s="534" t="s">
        <v>466</v>
      </c>
      <c r="M58" s="569">
        <v>32</v>
      </c>
      <c r="N58" s="573">
        <f t="shared" si="17"/>
        <v>12.5</v>
      </c>
    </row>
    <row r="59" spans="2:14" ht="18">
      <c r="B59" s="568" t="s">
        <v>473</v>
      </c>
      <c r="C59" s="569" t="s">
        <v>460</v>
      </c>
      <c r="D59" s="534">
        <v>80</v>
      </c>
      <c r="E59" s="534" t="s">
        <v>466</v>
      </c>
      <c r="F59" s="570">
        <v>8</v>
      </c>
      <c r="G59" s="571">
        <f t="shared" si="16"/>
        <v>10</v>
      </c>
      <c r="H59" s="361"/>
      <c r="I59" s="568" t="s">
        <v>498</v>
      </c>
      <c r="J59" s="572" t="s">
        <v>501</v>
      </c>
      <c r="K59" s="534">
        <v>15</v>
      </c>
      <c r="L59" s="534" t="s">
        <v>466</v>
      </c>
      <c r="M59" s="569">
        <v>16</v>
      </c>
      <c r="N59" s="573">
        <f t="shared" si="17"/>
        <v>0.9375</v>
      </c>
    </row>
    <row r="60" spans="2:14" ht="18">
      <c r="B60" s="568" t="s">
        <v>474</v>
      </c>
      <c r="C60" s="569" t="s">
        <v>461</v>
      </c>
      <c r="D60" s="534">
        <v>200</v>
      </c>
      <c r="E60" s="534" t="s">
        <v>466</v>
      </c>
      <c r="F60" s="570">
        <v>32</v>
      </c>
      <c r="G60" s="571">
        <f t="shared" si="16"/>
        <v>6.25</v>
      </c>
      <c r="H60" s="361"/>
      <c r="I60" s="568" t="s">
        <v>512</v>
      </c>
      <c r="J60" s="572" t="s">
        <v>513</v>
      </c>
      <c r="K60" s="534">
        <v>245</v>
      </c>
      <c r="L60" s="534" t="s">
        <v>466</v>
      </c>
      <c r="M60" s="569">
        <v>32</v>
      </c>
      <c r="N60" s="573">
        <f t="shared" si="17"/>
        <v>7.65625</v>
      </c>
    </row>
    <row r="61" spans="2:14" ht="18">
      <c r="B61" s="568"/>
      <c r="C61" s="569"/>
      <c r="D61" s="534"/>
      <c r="E61" s="534"/>
      <c r="F61" s="570"/>
      <c r="G61" s="571"/>
      <c r="H61" s="361"/>
      <c r="I61" s="568"/>
      <c r="J61" s="572"/>
      <c r="K61" s="534"/>
      <c r="L61" s="534"/>
      <c r="M61" s="569"/>
      <c r="N61" s="573">
        <f t="shared" si="17"/>
        <v>0</v>
      </c>
    </row>
    <row r="62" spans="2:14" ht="18">
      <c r="B62" s="568"/>
      <c r="C62" s="569"/>
      <c r="D62" s="534"/>
      <c r="E62" s="534"/>
      <c r="F62" s="570"/>
      <c r="G62" s="571"/>
      <c r="H62" s="361"/>
      <c r="I62" s="568"/>
      <c r="J62" s="572"/>
      <c r="K62" s="534"/>
      <c r="L62" s="534"/>
      <c r="M62" s="569"/>
      <c r="N62" s="573">
        <f t="shared" si="17"/>
        <v>0</v>
      </c>
    </row>
    <row r="63" spans="2:14" ht="18">
      <c r="B63" s="568"/>
      <c r="C63" s="569"/>
      <c r="D63" s="534"/>
      <c r="E63" s="534"/>
      <c r="F63" s="570"/>
      <c r="G63" s="571"/>
      <c r="H63" s="361"/>
      <c r="I63" s="568"/>
      <c r="J63" s="572"/>
      <c r="K63" s="534"/>
      <c r="L63" s="534"/>
      <c r="M63" s="569"/>
      <c r="N63" s="573">
        <f t="shared" si="17"/>
        <v>0</v>
      </c>
    </row>
    <row r="64" spans="2:14" ht="18.75" thickBot="1">
      <c r="B64" s="574"/>
      <c r="C64" s="575"/>
      <c r="D64" s="576"/>
      <c r="E64" s="576"/>
      <c r="F64" s="577"/>
      <c r="G64" s="578"/>
      <c r="H64" s="361"/>
      <c r="I64" s="574"/>
      <c r="J64" s="579"/>
      <c r="K64" s="576"/>
      <c r="L64" s="576"/>
      <c r="M64" s="575"/>
      <c r="N64" s="578">
        <f t="shared" si="17"/>
        <v>0</v>
      </c>
    </row>
    <row r="65" spans="2:14" ht="18">
      <c r="B65" s="212"/>
      <c r="C65" s="212"/>
      <c r="D65" s="580"/>
      <c r="E65" s="580"/>
      <c r="F65" s="581"/>
      <c r="G65" s="429"/>
      <c r="H65" s="212"/>
      <c r="I65" s="212"/>
      <c r="J65" s="582"/>
      <c r="K65" s="580"/>
      <c r="L65" s="580"/>
      <c r="M65" s="212"/>
      <c r="N65" s="432">
        <f t="shared" si="17"/>
        <v>0</v>
      </c>
    </row>
    <row r="66" spans="2:14" ht="18">
      <c r="B66" s="215" t="s">
        <v>581</v>
      </c>
      <c r="C66" s="212"/>
      <c r="D66" s="580"/>
      <c r="E66" s="580"/>
      <c r="F66" s="581"/>
      <c r="G66" s="429"/>
      <c r="H66" s="212"/>
      <c r="I66" s="215" t="s">
        <v>582</v>
      </c>
      <c r="J66" s="582"/>
      <c r="K66" s="580"/>
      <c r="L66" s="580"/>
      <c r="M66" s="212"/>
      <c r="N66" s="432">
        <f t="shared" si="17"/>
        <v>0</v>
      </c>
    </row>
    <row r="67" spans="2:14" ht="18.75" thickBot="1">
      <c r="B67" s="583" t="s">
        <v>475</v>
      </c>
      <c r="C67" s="583" t="s">
        <v>476</v>
      </c>
      <c r="D67" s="584" t="s">
        <v>470</v>
      </c>
      <c r="E67" s="584" t="s">
        <v>162</v>
      </c>
      <c r="F67" s="584" t="s">
        <v>503</v>
      </c>
      <c r="G67" s="585" t="s">
        <v>504</v>
      </c>
      <c r="H67" s="361"/>
      <c r="I67" s="142" t="s">
        <v>475</v>
      </c>
      <c r="J67" s="142" t="s">
        <v>476</v>
      </c>
      <c r="K67" s="522" t="s">
        <v>470</v>
      </c>
      <c r="L67" s="522" t="s">
        <v>162</v>
      </c>
      <c r="M67" s="522" t="s">
        <v>503</v>
      </c>
      <c r="N67" s="585" t="s">
        <v>504</v>
      </c>
    </row>
    <row r="68" spans="2:14" ht="18">
      <c r="B68" s="562" t="s">
        <v>478</v>
      </c>
      <c r="C68" s="586" t="s">
        <v>479</v>
      </c>
      <c r="D68" s="532">
        <v>200</v>
      </c>
      <c r="E68" s="532" t="s">
        <v>466</v>
      </c>
      <c r="F68" s="564">
        <v>128</v>
      </c>
      <c r="G68" s="571">
        <f t="shared" ref="G68:G70" si="18">D68/F68</f>
        <v>1.5625</v>
      </c>
      <c r="H68" s="361"/>
      <c r="I68" s="562" t="s">
        <v>505</v>
      </c>
      <c r="J68" s="566" t="s">
        <v>499</v>
      </c>
      <c r="K68" s="532">
        <v>79.95</v>
      </c>
      <c r="L68" s="532" t="s">
        <v>502</v>
      </c>
      <c r="M68" s="563">
        <v>50</v>
      </c>
      <c r="N68" s="567">
        <f t="shared" si="17"/>
        <v>1.599</v>
      </c>
    </row>
    <row r="69" spans="2:14" ht="18">
      <c r="B69" s="568" t="s">
        <v>480</v>
      </c>
      <c r="C69" s="587" t="s">
        <v>481</v>
      </c>
      <c r="D69" s="534">
        <v>30</v>
      </c>
      <c r="E69" s="534" t="s">
        <v>466</v>
      </c>
      <c r="F69" s="570">
        <v>128</v>
      </c>
      <c r="G69" s="571">
        <f t="shared" si="18"/>
        <v>0.234375</v>
      </c>
      <c r="H69" s="361"/>
      <c r="I69" s="568" t="s">
        <v>507</v>
      </c>
      <c r="J69" s="572" t="s">
        <v>506</v>
      </c>
      <c r="K69" s="534">
        <v>160</v>
      </c>
      <c r="L69" s="534" t="s">
        <v>502</v>
      </c>
      <c r="M69" s="569">
        <v>20</v>
      </c>
      <c r="N69" s="573">
        <f t="shared" si="17"/>
        <v>8</v>
      </c>
    </row>
    <row r="70" spans="2:14" s="143" customFormat="1" ht="18">
      <c r="B70" s="568" t="s">
        <v>482</v>
      </c>
      <c r="C70" s="587" t="s">
        <v>483</v>
      </c>
      <c r="D70" s="534">
        <v>160</v>
      </c>
      <c r="E70" s="534" t="s">
        <v>466</v>
      </c>
      <c r="F70" s="570">
        <v>32</v>
      </c>
      <c r="G70" s="571">
        <f t="shared" si="18"/>
        <v>5</v>
      </c>
      <c r="H70" s="588"/>
      <c r="I70" s="568"/>
      <c r="J70" s="572"/>
      <c r="K70" s="534"/>
      <c r="L70" s="534"/>
      <c r="M70" s="569"/>
      <c r="N70" s="573">
        <f t="shared" si="17"/>
        <v>0</v>
      </c>
    </row>
    <row r="71" spans="2:14" ht="18">
      <c r="B71" s="568"/>
      <c r="C71" s="569"/>
      <c r="D71" s="534"/>
      <c r="E71" s="534"/>
      <c r="F71" s="570"/>
      <c r="G71" s="571"/>
      <c r="H71" s="361"/>
      <c r="I71" s="568"/>
      <c r="J71" s="572"/>
      <c r="K71" s="534"/>
      <c r="L71" s="534"/>
      <c r="M71" s="569"/>
      <c r="N71" s="573">
        <f t="shared" si="17"/>
        <v>0</v>
      </c>
    </row>
    <row r="72" spans="2:14" ht="18">
      <c r="B72" s="568"/>
      <c r="C72" s="569"/>
      <c r="D72" s="534"/>
      <c r="E72" s="534"/>
      <c r="F72" s="570"/>
      <c r="G72" s="571"/>
      <c r="H72" s="361"/>
      <c r="I72" s="568"/>
      <c r="J72" s="572"/>
      <c r="K72" s="534"/>
      <c r="L72" s="534"/>
      <c r="M72" s="569"/>
      <c r="N72" s="573">
        <f t="shared" si="17"/>
        <v>0</v>
      </c>
    </row>
    <row r="73" spans="2:14" ht="18">
      <c r="B73" s="568"/>
      <c r="C73" s="569"/>
      <c r="D73" s="534"/>
      <c r="E73" s="534"/>
      <c r="F73" s="570"/>
      <c r="G73" s="571"/>
      <c r="H73" s="361"/>
      <c r="I73" s="568"/>
      <c r="J73" s="572"/>
      <c r="K73" s="534"/>
      <c r="L73" s="534"/>
      <c r="M73" s="569"/>
      <c r="N73" s="573">
        <f t="shared" si="17"/>
        <v>0</v>
      </c>
    </row>
    <row r="74" spans="2:14" ht="18.75" thickBot="1">
      <c r="B74" s="574"/>
      <c r="C74" s="575"/>
      <c r="D74" s="576"/>
      <c r="E74" s="576"/>
      <c r="F74" s="577"/>
      <c r="G74" s="578"/>
      <c r="H74" s="361"/>
      <c r="I74" s="574"/>
      <c r="J74" s="579"/>
      <c r="K74" s="576"/>
      <c r="L74" s="576"/>
      <c r="M74" s="575"/>
      <c r="N74" s="578">
        <f t="shared" si="17"/>
        <v>0</v>
      </c>
    </row>
    <row r="75" spans="2:14" ht="18">
      <c r="B75" s="212"/>
      <c r="C75" s="212"/>
      <c r="D75" s="580"/>
      <c r="E75" s="580"/>
      <c r="F75" s="581"/>
      <c r="G75" s="429"/>
      <c r="H75" s="212"/>
      <c r="I75" s="212"/>
      <c r="J75" s="582"/>
      <c r="K75" s="580"/>
      <c r="L75" s="580"/>
      <c r="M75" s="212"/>
      <c r="N75" s="432">
        <f t="shared" si="17"/>
        <v>0</v>
      </c>
    </row>
    <row r="76" spans="2:14" ht="18">
      <c r="B76" s="215" t="s">
        <v>583</v>
      </c>
      <c r="C76" s="212"/>
      <c r="D76" s="580"/>
      <c r="E76" s="580"/>
      <c r="F76" s="581"/>
      <c r="G76" s="429"/>
      <c r="H76" s="212"/>
      <c r="I76" s="215" t="s">
        <v>584</v>
      </c>
      <c r="J76" s="582"/>
      <c r="K76" s="580"/>
      <c r="L76" s="580"/>
      <c r="M76" s="212"/>
      <c r="N76" s="432">
        <f t="shared" si="17"/>
        <v>0</v>
      </c>
    </row>
    <row r="77" spans="2:14" ht="18.75" thickBot="1">
      <c r="B77" s="142" t="s">
        <v>475</v>
      </c>
      <c r="C77" s="142" t="s">
        <v>476</v>
      </c>
      <c r="D77" s="522" t="s">
        <v>470</v>
      </c>
      <c r="E77" s="522" t="s">
        <v>162</v>
      </c>
      <c r="F77" s="522" t="s">
        <v>503</v>
      </c>
      <c r="G77" s="585" t="s">
        <v>504</v>
      </c>
      <c r="H77" s="212"/>
      <c r="I77" s="142" t="s">
        <v>475</v>
      </c>
      <c r="J77" s="142" t="s">
        <v>476</v>
      </c>
      <c r="K77" s="522" t="s">
        <v>470</v>
      </c>
      <c r="L77" s="522" t="s">
        <v>162</v>
      </c>
      <c r="M77" s="522" t="s">
        <v>503</v>
      </c>
      <c r="N77" s="585" t="s">
        <v>504</v>
      </c>
    </row>
    <row r="78" spans="2:14" ht="18">
      <c r="B78" s="568" t="s">
        <v>487</v>
      </c>
      <c r="C78" s="569" t="s">
        <v>489</v>
      </c>
      <c r="D78" s="534">
        <v>70</v>
      </c>
      <c r="E78" s="534" t="s">
        <v>466</v>
      </c>
      <c r="F78" s="570">
        <v>1.33</v>
      </c>
      <c r="G78" s="571">
        <f>D78/F78</f>
        <v>52.631578947368418</v>
      </c>
      <c r="H78" s="361"/>
      <c r="I78" s="568"/>
      <c r="J78" s="572"/>
      <c r="K78" s="534"/>
      <c r="L78" s="534"/>
      <c r="M78" s="569"/>
      <c r="N78" s="567">
        <f t="shared" si="17"/>
        <v>0</v>
      </c>
    </row>
    <row r="79" spans="2:14" ht="18">
      <c r="B79" s="568" t="s">
        <v>488</v>
      </c>
      <c r="C79" s="569" t="s">
        <v>484</v>
      </c>
      <c r="D79" s="534">
        <v>50</v>
      </c>
      <c r="E79" s="534" t="s">
        <v>466</v>
      </c>
      <c r="F79" s="570">
        <v>320</v>
      </c>
      <c r="G79" s="571">
        <f>D79/F79</f>
        <v>0.15625</v>
      </c>
      <c r="H79" s="361"/>
      <c r="I79" s="568"/>
      <c r="J79" s="572"/>
      <c r="K79" s="534"/>
      <c r="L79" s="534"/>
      <c r="M79" s="569"/>
      <c r="N79" s="573">
        <f t="shared" si="17"/>
        <v>0</v>
      </c>
    </row>
    <row r="80" spans="2:14" ht="18">
      <c r="B80" s="568" t="s">
        <v>490</v>
      </c>
      <c r="C80" s="569" t="s">
        <v>485</v>
      </c>
      <c r="D80" s="534">
        <v>120</v>
      </c>
      <c r="E80" s="534" t="s">
        <v>466</v>
      </c>
      <c r="F80" s="570">
        <v>128</v>
      </c>
      <c r="G80" s="571">
        <f>D80/F80</f>
        <v>0.9375</v>
      </c>
      <c r="H80" s="361"/>
      <c r="I80" s="568"/>
      <c r="J80" s="572"/>
      <c r="K80" s="534"/>
      <c r="L80" s="534"/>
      <c r="M80" s="569"/>
      <c r="N80" s="573">
        <f t="shared" si="17"/>
        <v>0</v>
      </c>
    </row>
    <row r="81" spans="2:14" ht="18">
      <c r="B81" s="568" t="s">
        <v>491</v>
      </c>
      <c r="C81" s="569" t="s">
        <v>486</v>
      </c>
      <c r="D81" s="534">
        <v>130</v>
      </c>
      <c r="E81" s="534" t="s">
        <v>466</v>
      </c>
      <c r="F81" s="570">
        <v>320</v>
      </c>
      <c r="G81" s="571">
        <f>D81/F81</f>
        <v>0.40625</v>
      </c>
      <c r="H81" s="361"/>
      <c r="I81" s="568"/>
      <c r="J81" s="572"/>
      <c r="K81" s="534"/>
      <c r="L81" s="534"/>
      <c r="M81" s="569"/>
      <c r="N81" s="573">
        <f t="shared" si="17"/>
        <v>0</v>
      </c>
    </row>
    <row r="82" spans="2:14" s="143" customFormat="1" ht="18">
      <c r="B82" s="568" t="s">
        <v>492</v>
      </c>
      <c r="C82" s="569" t="s">
        <v>493</v>
      </c>
      <c r="D82" s="534">
        <v>100</v>
      </c>
      <c r="E82" s="534" t="s">
        <v>466</v>
      </c>
      <c r="F82" s="570">
        <v>128</v>
      </c>
      <c r="G82" s="571">
        <f>D82/F82</f>
        <v>0.78125</v>
      </c>
      <c r="H82" s="588"/>
      <c r="I82" s="568"/>
      <c r="J82" s="572"/>
      <c r="K82" s="534"/>
      <c r="L82" s="534"/>
      <c r="M82" s="569"/>
      <c r="N82" s="573">
        <f t="shared" si="17"/>
        <v>0</v>
      </c>
    </row>
    <row r="83" spans="2:14" ht="18">
      <c r="B83" s="568"/>
      <c r="C83" s="569"/>
      <c r="D83" s="534"/>
      <c r="E83" s="534"/>
      <c r="F83" s="570"/>
      <c r="G83" s="571"/>
      <c r="H83" s="361"/>
      <c r="I83" s="568"/>
      <c r="J83" s="572"/>
      <c r="K83" s="534"/>
      <c r="L83" s="534"/>
      <c r="M83" s="569"/>
      <c r="N83" s="573">
        <f t="shared" si="17"/>
        <v>0</v>
      </c>
    </row>
    <row r="84" spans="2:14" ht="18">
      <c r="B84" s="568"/>
      <c r="C84" s="569"/>
      <c r="D84" s="534"/>
      <c r="E84" s="534"/>
      <c r="F84" s="570"/>
      <c r="G84" s="571"/>
      <c r="H84" s="361"/>
      <c r="I84" s="568"/>
      <c r="J84" s="572"/>
      <c r="K84" s="534"/>
      <c r="L84" s="534"/>
      <c r="M84" s="569"/>
      <c r="N84" s="573">
        <f t="shared" si="17"/>
        <v>0</v>
      </c>
    </row>
    <row r="85" spans="2:14" ht="18">
      <c r="B85" s="568"/>
      <c r="C85" s="569"/>
      <c r="D85" s="534"/>
      <c r="E85" s="534"/>
      <c r="F85" s="570"/>
      <c r="G85" s="571"/>
      <c r="H85" s="361"/>
      <c r="I85" s="568"/>
      <c r="J85" s="572"/>
      <c r="K85" s="534"/>
      <c r="L85" s="534"/>
      <c r="M85" s="569"/>
      <c r="N85" s="573">
        <f t="shared" si="17"/>
        <v>0</v>
      </c>
    </row>
    <row r="86" spans="2:14" ht="15.75" thickBot="1">
      <c r="B86" s="333"/>
      <c r="C86" s="334"/>
      <c r="D86" s="335"/>
      <c r="E86" s="335"/>
      <c r="F86" s="336"/>
      <c r="G86" s="195"/>
      <c r="I86" s="337"/>
      <c r="J86" s="338"/>
      <c r="K86" s="339"/>
      <c r="L86" s="339"/>
      <c r="M86" s="331"/>
      <c r="N86" s="196">
        <f t="shared" si="17"/>
        <v>0</v>
      </c>
    </row>
    <row r="87" spans="2:14" ht="15">
      <c r="B87" s="78" t="s">
        <v>590</v>
      </c>
      <c r="C87" s="141"/>
      <c r="D87" s="141">
        <f>SUM(D55:D86)</f>
        <v>1780</v>
      </c>
      <c r="E87" s="141"/>
      <c r="F87" s="82"/>
      <c r="I87" s="78" t="s">
        <v>590</v>
      </c>
      <c r="K87" s="141">
        <f>SUM(K55:K86)</f>
        <v>1244.95</v>
      </c>
    </row>
    <row r="88" spans="2:14">
      <c r="F88" s="82"/>
    </row>
    <row r="89" spans="2:14">
      <c r="C89" s="58"/>
      <c r="D89" s="58"/>
      <c r="E89" s="58"/>
      <c r="F89" s="82"/>
    </row>
    <row r="90" spans="2:14">
      <c r="C90" s="58"/>
      <c r="D90" s="58"/>
      <c r="E90" s="58"/>
      <c r="F90" s="58"/>
    </row>
    <row r="91" spans="2:14">
      <c r="C91" s="58"/>
      <c r="F91" s="58"/>
    </row>
    <row r="92" spans="2:14">
      <c r="C92" s="58"/>
      <c r="F92" s="58"/>
    </row>
  </sheetData>
  <hyperlinks>
    <hyperlink ref="B50" r:id="rId1"/>
    <hyperlink ref="B51" r:id="rId2"/>
    <hyperlink ref="B4" location="'Market Garden Budget'!A1" display="return to budget page"/>
    <hyperlink ref="I4" location="'Market Garden Budget'!A1" display="return to budget page"/>
  </hyperlinks>
  <pageMargins left="0.7" right="0.7" top="0.75" bottom="0.75" header="0.3" footer="0.3"/>
  <pageSetup scale="46" orientation="portrait" r:id="rId3"/>
  <rowBreaks count="1" manualBreakCount="1">
    <brk id="43" max="1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5"/>
  <sheetViews>
    <sheetView zoomScale="70" zoomScaleNormal="70" workbookViewId="0">
      <selection activeCell="G12" sqref="G12"/>
    </sheetView>
  </sheetViews>
  <sheetFormatPr defaultRowHeight="14.25"/>
  <cols>
    <col min="1" max="1" width="12.42578125" style="52" customWidth="1"/>
    <col min="2" max="2" width="62.5703125" style="52" customWidth="1"/>
    <col min="3" max="3" width="27.7109375" style="52" customWidth="1"/>
    <col min="4" max="4" width="30.28515625" style="52" customWidth="1"/>
    <col min="5" max="5" width="29.42578125" style="52" customWidth="1"/>
    <col min="6" max="6" width="24.28515625" style="52" customWidth="1"/>
    <col min="7" max="8" width="24.140625" style="52" customWidth="1"/>
    <col min="9" max="9" width="31" style="52" customWidth="1"/>
    <col min="10" max="10" width="1.5703125" style="52" customWidth="1"/>
    <col min="11" max="11" width="21.42578125" style="52" customWidth="1"/>
    <col min="12" max="16384" width="9.140625" style="52"/>
  </cols>
  <sheetData>
    <row r="1" spans="2:9" ht="27.75" customHeight="1"/>
    <row r="2" spans="2:9" ht="24" customHeight="1">
      <c r="B2" s="412" t="s">
        <v>560</v>
      </c>
    </row>
    <row r="3" spans="2:9" ht="18" customHeight="1">
      <c r="B3" s="358" t="s">
        <v>552</v>
      </c>
    </row>
    <row r="4" spans="2:9" ht="18" customHeight="1"/>
    <row r="5" spans="2:9" ht="23.25" customHeight="1" thickBot="1">
      <c r="B5" s="210" t="s">
        <v>526</v>
      </c>
      <c r="C5" s="210"/>
      <c r="D5" s="210"/>
      <c r="E5" s="210"/>
      <c r="F5" s="210"/>
      <c r="G5" s="143"/>
      <c r="H5" s="143"/>
      <c r="I5" s="143"/>
    </row>
    <row r="6" spans="2:9" ht="36" customHeight="1" thickBot="1">
      <c r="B6" s="211"/>
      <c r="C6" s="397" t="s">
        <v>164</v>
      </c>
      <c r="D6" s="414" t="s">
        <v>274</v>
      </c>
      <c r="E6" s="415" t="s">
        <v>209</v>
      </c>
      <c r="F6" s="143"/>
      <c r="G6" s="143"/>
      <c r="H6" s="143"/>
      <c r="I6" s="143"/>
    </row>
    <row r="7" spans="2:9" ht="18">
      <c r="B7" s="212" t="s">
        <v>376</v>
      </c>
      <c r="C7" s="374">
        <v>1000</v>
      </c>
      <c r="D7" s="372">
        <v>10</v>
      </c>
      <c r="E7" s="213">
        <f>C7/D7</f>
        <v>100</v>
      </c>
      <c r="F7" s="143"/>
      <c r="G7" s="143"/>
      <c r="H7" s="143"/>
      <c r="I7" s="143"/>
    </row>
    <row r="8" spans="2:9" ht="18">
      <c r="B8" s="212" t="s">
        <v>375</v>
      </c>
      <c r="C8" s="374">
        <v>5000</v>
      </c>
      <c r="D8" s="372">
        <v>12</v>
      </c>
      <c r="E8" s="214">
        <f t="shared" ref="E8:E21" si="0">C8/D8</f>
        <v>416.66666666666669</v>
      </c>
      <c r="F8" s="143"/>
      <c r="G8" s="143"/>
      <c r="H8" s="143"/>
      <c r="I8" s="143"/>
    </row>
    <row r="9" spans="2:9" ht="18">
      <c r="B9" s="212" t="s">
        <v>330</v>
      </c>
      <c r="C9" s="374">
        <v>600</v>
      </c>
      <c r="D9" s="372">
        <v>10</v>
      </c>
      <c r="E9" s="214">
        <f t="shared" si="0"/>
        <v>60</v>
      </c>
      <c r="F9" s="143"/>
      <c r="G9" s="143"/>
      <c r="H9" s="143"/>
      <c r="I9" s="143"/>
    </row>
    <row r="10" spans="2:9" ht="18">
      <c r="B10" s="212" t="s">
        <v>377</v>
      </c>
      <c r="C10" s="374">
        <f>'Irrigation Budget Sheet'!G35</f>
        <v>506.81600000000003</v>
      </c>
      <c r="D10" s="372">
        <v>5</v>
      </c>
      <c r="E10" s="214">
        <f>C10/D10</f>
        <v>101.36320000000001</v>
      </c>
      <c r="F10" s="143"/>
      <c r="G10" s="143"/>
      <c r="H10" s="143"/>
      <c r="I10" s="143"/>
    </row>
    <row r="11" spans="2:9" ht="18">
      <c r="B11" s="212" t="s">
        <v>455</v>
      </c>
      <c r="C11" s="374">
        <v>250</v>
      </c>
      <c r="D11" s="372">
        <v>5</v>
      </c>
      <c r="E11" s="214">
        <f>C11/D11</f>
        <v>50</v>
      </c>
      <c r="F11" s="143"/>
      <c r="G11" s="143"/>
      <c r="H11" s="143"/>
      <c r="I11" s="143"/>
    </row>
    <row r="12" spans="2:9" ht="18">
      <c r="B12" s="212" t="s">
        <v>436</v>
      </c>
      <c r="C12" s="374">
        <v>2000</v>
      </c>
      <c r="D12" s="372">
        <v>5</v>
      </c>
      <c r="E12" s="214">
        <f t="shared" si="0"/>
        <v>400</v>
      </c>
      <c r="F12" s="143"/>
      <c r="G12" s="143"/>
      <c r="H12" s="143"/>
      <c r="I12" s="143"/>
    </row>
    <row r="13" spans="2:9" ht="18">
      <c r="B13" s="212" t="s">
        <v>435</v>
      </c>
      <c r="C13" s="374">
        <v>300</v>
      </c>
      <c r="D13" s="372">
        <v>5</v>
      </c>
      <c r="E13" s="214">
        <f t="shared" si="0"/>
        <v>60</v>
      </c>
      <c r="F13" s="143"/>
      <c r="G13" s="143"/>
      <c r="H13" s="143"/>
      <c r="I13" s="143"/>
    </row>
    <row r="14" spans="2:9" ht="18">
      <c r="B14" s="212" t="s">
        <v>303</v>
      </c>
      <c r="C14" s="374">
        <v>250</v>
      </c>
      <c r="D14" s="372">
        <v>5</v>
      </c>
      <c r="E14" s="214">
        <f t="shared" si="0"/>
        <v>50</v>
      </c>
      <c r="F14" s="143"/>
      <c r="G14" s="143"/>
      <c r="H14" s="143"/>
      <c r="I14" s="143"/>
    </row>
    <row r="15" spans="2:9" ht="18">
      <c r="B15" s="212" t="s">
        <v>182</v>
      </c>
      <c r="C15" s="374">
        <v>350</v>
      </c>
      <c r="D15" s="372">
        <v>5</v>
      </c>
      <c r="E15" s="214">
        <f t="shared" si="0"/>
        <v>70</v>
      </c>
      <c r="F15" s="143"/>
      <c r="G15" s="143"/>
      <c r="H15" s="143"/>
      <c r="I15" s="143"/>
    </row>
    <row r="16" spans="2:9" ht="18">
      <c r="B16" s="212" t="s">
        <v>331</v>
      </c>
      <c r="C16" s="374">
        <v>1000</v>
      </c>
      <c r="D16" s="372">
        <v>5</v>
      </c>
      <c r="E16" s="214">
        <f t="shared" si="0"/>
        <v>200</v>
      </c>
      <c r="F16" s="143"/>
      <c r="G16" s="143"/>
      <c r="H16" s="143"/>
      <c r="I16" s="143"/>
    </row>
    <row r="17" spans="2:24" ht="18">
      <c r="B17" s="212" t="s">
        <v>183</v>
      </c>
      <c r="C17" s="374">
        <v>120</v>
      </c>
      <c r="D17" s="372">
        <v>3</v>
      </c>
      <c r="E17" s="214">
        <f t="shared" si="0"/>
        <v>40</v>
      </c>
      <c r="F17" s="143"/>
      <c r="G17" s="143"/>
      <c r="H17" s="143"/>
      <c r="I17" s="143"/>
    </row>
    <row r="18" spans="2:24" ht="18">
      <c r="B18" s="212" t="s">
        <v>184</v>
      </c>
      <c r="C18" s="374">
        <v>350</v>
      </c>
      <c r="D18" s="372">
        <v>5</v>
      </c>
      <c r="E18" s="214">
        <f t="shared" si="0"/>
        <v>70</v>
      </c>
      <c r="F18" s="143"/>
      <c r="G18" s="143"/>
      <c r="H18" s="143"/>
      <c r="I18" s="143"/>
    </row>
    <row r="19" spans="2:24" ht="18">
      <c r="B19" s="212" t="s">
        <v>328</v>
      </c>
      <c r="C19" s="374">
        <v>500</v>
      </c>
      <c r="D19" s="372">
        <v>5</v>
      </c>
      <c r="E19" s="214">
        <f t="shared" si="0"/>
        <v>100</v>
      </c>
      <c r="F19" s="143"/>
      <c r="G19" s="143"/>
      <c r="H19" s="143"/>
      <c r="I19" s="143"/>
    </row>
    <row r="20" spans="2:24" ht="18">
      <c r="B20" s="212" t="s">
        <v>325</v>
      </c>
      <c r="C20" s="374">
        <v>1200</v>
      </c>
      <c r="D20" s="372">
        <v>5</v>
      </c>
      <c r="E20" s="214">
        <f t="shared" si="0"/>
        <v>240</v>
      </c>
      <c r="F20" s="143"/>
      <c r="G20" s="143"/>
      <c r="H20" s="143"/>
      <c r="I20" s="143"/>
    </row>
    <row r="21" spans="2:24" ht="18">
      <c r="B21" s="212" t="s">
        <v>446</v>
      </c>
      <c r="C21" s="374">
        <v>500</v>
      </c>
      <c r="D21" s="372">
        <v>10</v>
      </c>
      <c r="E21" s="214">
        <f t="shared" si="0"/>
        <v>50</v>
      </c>
      <c r="F21" s="143"/>
      <c r="G21" s="143"/>
      <c r="H21" s="143"/>
      <c r="I21" s="143"/>
    </row>
    <row r="22" spans="2:24" ht="18.75" thickBot="1">
      <c r="B22" s="212" t="s">
        <v>326</v>
      </c>
      <c r="C22" s="374">
        <v>500</v>
      </c>
      <c r="D22" s="372">
        <v>5</v>
      </c>
      <c r="E22" s="214">
        <f t="shared" ref="E22" si="1">C22/D22</f>
        <v>100</v>
      </c>
      <c r="F22" s="143"/>
      <c r="G22" s="143"/>
      <c r="H22" s="143"/>
      <c r="I22" s="143"/>
    </row>
    <row r="23" spans="2:24" ht="18">
      <c r="B23" s="379"/>
      <c r="C23" s="374"/>
      <c r="D23" s="372"/>
      <c r="E23" s="214">
        <f>IF(C23=0,0,C23/D23)</f>
        <v>0</v>
      </c>
      <c r="F23" s="143"/>
      <c r="G23" s="143"/>
      <c r="H23" s="143"/>
      <c r="I23" s="143"/>
    </row>
    <row r="24" spans="2:24" ht="18">
      <c r="B24" s="370"/>
      <c r="C24" s="374"/>
      <c r="D24" s="372"/>
      <c r="E24" s="214">
        <f t="shared" ref="E24:E25" si="2">IF(C24=0,0,C24/D24)</f>
        <v>0</v>
      </c>
      <c r="F24" s="143"/>
      <c r="G24" s="143"/>
      <c r="H24" s="143"/>
      <c r="I24" s="143"/>
    </row>
    <row r="25" spans="2:24" ht="18.75" thickBot="1">
      <c r="B25" s="371"/>
      <c r="C25" s="375"/>
      <c r="D25" s="373"/>
      <c r="E25" s="378">
        <f t="shared" si="2"/>
        <v>0</v>
      </c>
      <c r="F25" s="143"/>
      <c r="G25" s="143"/>
      <c r="H25" s="143"/>
      <c r="I25" s="143"/>
    </row>
    <row r="26" spans="2:24" ht="18">
      <c r="B26" s="215" t="s">
        <v>207</v>
      </c>
      <c r="C26" s="214">
        <f>SUM(C7:C25)</f>
        <v>14426.815999999999</v>
      </c>
      <c r="D26" s="212"/>
      <c r="E26" s="216">
        <f>SUM(E7:E25)</f>
        <v>2108.0298666666667</v>
      </c>
    </row>
    <row r="27" spans="2:24" ht="18">
      <c r="B27" s="50" t="s">
        <v>549</v>
      </c>
      <c r="C27" s="214"/>
      <c r="D27" s="212"/>
      <c r="E27" s="216"/>
    </row>
    <row r="28" spans="2:24" ht="18">
      <c r="B28" s="52" t="s">
        <v>401</v>
      </c>
      <c r="C28" s="214"/>
      <c r="D28" s="212"/>
      <c r="E28" s="216"/>
    </row>
    <row r="29" spans="2:24" ht="15" thickBot="1">
      <c r="B29" s="50"/>
      <c r="C29" s="50"/>
      <c r="D29" s="50"/>
      <c r="E29" s="50"/>
    </row>
    <row r="30" spans="2:24" ht="15">
      <c r="C30" s="217" t="s">
        <v>519</v>
      </c>
      <c r="D30" s="218" t="s">
        <v>520</v>
      </c>
      <c r="E30" s="218" t="s">
        <v>521</v>
      </c>
      <c r="F30" s="218" t="s">
        <v>522</v>
      </c>
      <c r="G30" s="218" t="s">
        <v>523</v>
      </c>
      <c r="H30" s="219" t="s">
        <v>524</v>
      </c>
    </row>
    <row r="31" spans="2:24" ht="15" thickBot="1">
      <c r="C31" s="220" t="s">
        <v>292</v>
      </c>
      <c r="D31" s="221" t="s">
        <v>293</v>
      </c>
      <c r="E31" s="221" t="s">
        <v>294</v>
      </c>
      <c r="F31" s="221" t="s">
        <v>295</v>
      </c>
      <c r="G31" s="221" t="s">
        <v>295</v>
      </c>
      <c r="H31" s="222" t="s">
        <v>295</v>
      </c>
    </row>
    <row r="32" spans="2:24" ht="15">
      <c r="B32" s="223" t="s">
        <v>378</v>
      </c>
      <c r="C32" s="224">
        <f>-C26+C33</f>
        <v>-14162.530466285736</v>
      </c>
      <c r="D32" s="224">
        <f>C32+D33</f>
        <v>-13722.054576761966</v>
      </c>
      <c r="E32" s="224">
        <f t="shared" ref="E32:H32" si="3">D32+E33</f>
        <v>-13061.34074247631</v>
      </c>
      <c r="F32" s="224">
        <f t="shared" si="3"/>
        <v>-12180.38896342877</v>
      </c>
      <c r="G32" s="224">
        <f t="shared" si="3"/>
        <v>-11299.43718438123</v>
      </c>
      <c r="H32" s="224">
        <f t="shared" si="3"/>
        <v>-10418.485405333689</v>
      </c>
      <c r="I32" s="50"/>
      <c r="J32" s="50"/>
      <c r="K32" s="50"/>
      <c r="L32" s="50"/>
      <c r="M32" s="50"/>
      <c r="N32" s="50"/>
      <c r="O32" s="50"/>
      <c r="P32" s="50"/>
      <c r="Q32" s="50"/>
      <c r="R32" s="50"/>
      <c r="S32" s="50"/>
      <c r="T32" s="50"/>
      <c r="U32" s="50"/>
      <c r="V32" s="50"/>
      <c r="W32" s="50"/>
      <c r="X32" s="50"/>
    </row>
    <row r="33" spans="2:24" ht="15.75" thickBot="1">
      <c r="B33" s="223" t="s">
        <v>399</v>
      </c>
      <c r="C33" s="59">
        <f>'Market Garden Budget'!$F$87*0.3</f>
        <v>264.28553371426204</v>
      </c>
      <c r="D33" s="59">
        <f>'Market Garden Budget'!$F$87*0.5</f>
        <v>440.47588952377009</v>
      </c>
      <c r="E33" s="59">
        <f>'Market Garden Budget'!$F$87*0.75</f>
        <v>660.71383428565514</v>
      </c>
      <c r="F33" s="59">
        <f>'Market Garden Budget'!$F$87</f>
        <v>880.95177904754019</v>
      </c>
      <c r="G33" s="59">
        <f>'Market Garden Budget'!$F$87</f>
        <v>880.95177904754019</v>
      </c>
      <c r="H33" s="59">
        <f>'Market Garden Budget'!$F$87</f>
        <v>880.95177904754019</v>
      </c>
      <c r="I33" s="50"/>
      <c r="J33" s="50"/>
      <c r="K33" s="50"/>
      <c r="L33" s="50"/>
      <c r="M33" s="50"/>
      <c r="N33" s="50"/>
      <c r="O33" s="50"/>
      <c r="P33" s="50"/>
      <c r="Q33" s="50"/>
      <c r="R33" s="50"/>
      <c r="S33" s="50"/>
      <c r="T33" s="50"/>
      <c r="U33" s="50"/>
      <c r="V33" s="50"/>
      <c r="W33" s="50"/>
      <c r="X33" s="50"/>
    </row>
    <row r="34" spans="2:24" ht="15" thickTop="1">
      <c r="F34" s="50"/>
      <c r="G34" s="50"/>
      <c r="H34" s="50"/>
      <c r="I34" s="50"/>
      <c r="J34" s="50"/>
      <c r="K34" s="50"/>
      <c r="L34" s="50"/>
      <c r="M34" s="50"/>
      <c r="N34" s="50"/>
      <c r="O34" s="50"/>
      <c r="P34" s="50"/>
      <c r="Q34" s="50"/>
      <c r="R34" s="50"/>
      <c r="S34" s="50"/>
      <c r="T34" s="50"/>
      <c r="U34" s="50"/>
      <c r="V34" s="50"/>
      <c r="W34" s="50"/>
      <c r="X34" s="50"/>
    </row>
    <row r="35" spans="2:24">
      <c r="F35" s="50"/>
      <c r="G35" s="50"/>
      <c r="H35" s="50"/>
      <c r="I35" s="50"/>
      <c r="J35" s="50"/>
      <c r="K35" s="50"/>
      <c r="L35" s="50"/>
      <c r="M35" s="50"/>
      <c r="N35" s="50"/>
      <c r="O35" s="50"/>
      <c r="P35" s="50"/>
      <c r="Q35" s="50"/>
      <c r="R35" s="50"/>
      <c r="S35" s="50"/>
      <c r="T35" s="50"/>
      <c r="U35" s="50"/>
      <c r="V35" s="50"/>
      <c r="W35" s="50"/>
      <c r="X35" s="50"/>
    </row>
    <row r="36" spans="2:24">
      <c r="F36" s="50"/>
      <c r="G36" s="50"/>
      <c r="H36" s="50"/>
      <c r="I36" s="50"/>
      <c r="J36" s="50"/>
      <c r="K36" s="50"/>
      <c r="L36" s="50"/>
      <c r="M36" s="50"/>
      <c r="N36" s="50"/>
      <c r="O36" s="50"/>
      <c r="P36" s="50"/>
      <c r="Q36" s="50"/>
      <c r="R36" s="50"/>
      <c r="S36" s="50"/>
      <c r="T36" s="50"/>
      <c r="U36" s="50"/>
      <c r="V36" s="50"/>
      <c r="W36" s="50"/>
      <c r="X36" s="50"/>
    </row>
    <row r="37" spans="2:24" ht="15">
      <c r="B37" s="413" t="s">
        <v>304</v>
      </c>
      <c r="C37" s="50"/>
      <c r="D37" s="60"/>
      <c r="E37" s="50"/>
      <c r="F37" s="50"/>
      <c r="G37" s="50"/>
      <c r="H37" s="50"/>
      <c r="I37" s="50"/>
      <c r="J37" s="50"/>
      <c r="K37" s="50"/>
      <c r="L37" s="50"/>
      <c r="M37" s="50"/>
      <c r="N37" s="50"/>
      <c r="O37" s="50"/>
      <c r="P37" s="50"/>
      <c r="Q37" s="50"/>
      <c r="R37" s="50"/>
      <c r="S37" s="50"/>
      <c r="T37" s="50"/>
      <c r="U37" s="50"/>
      <c r="V37" s="50"/>
      <c r="W37" s="50"/>
      <c r="X37" s="50"/>
    </row>
    <row r="38" spans="2:24" ht="15">
      <c r="B38" s="73" t="s">
        <v>197</v>
      </c>
      <c r="C38" s="226" t="s">
        <v>272</v>
      </c>
      <c r="D38" s="60"/>
      <c r="E38" s="50"/>
      <c r="F38" s="50"/>
      <c r="G38" s="50"/>
      <c r="H38" s="50"/>
      <c r="I38" s="50"/>
      <c r="J38" s="50"/>
      <c r="K38" s="50"/>
      <c r="L38" s="50"/>
      <c r="M38" s="50"/>
      <c r="N38" s="50"/>
      <c r="O38" s="50"/>
      <c r="P38" s="50"/>
      <c r="Q38" s="50"/>
      <c r="R38" s="50"/>
      <c r="S38" s="50"/>
      <c r="T38" s="50"/>
      <c r="U38" s="50"/>
      <c r="V38" s="50"/>
      <c r="W38" s="50"/>
      <c r="X38" s="50"/>
    </row>
    <row r="39" spans="2:24" ht="15">
      <c r="B39" s="73" t="s">
        <v>198</v>
      </c>
      <c r="C39" s="227" t="s">
        <v>271</v>
      </c>
      <c r="D39" s="60"/>
      <c r="E39" s="50"/>
      <c r="F39" s="50"/>
      <c r="G39" s="50"/>
      <c r="H39" s="50"/>
      <c r="I39" s="50"/>
      <c r="J39" s="50"/>
      <c r="K39" s="50"/>
      <c r="L39" s="50"/>
      <c r="M39" s="50"/>
      <c r="N39" s="50"/>
      <c r="O39" s="50"/>
      <c r="P39" s="50"/>
      <c r="Q39" s="50"/>
      <c r="R39" s="50"/>
      <c r="S39" s="50"/>
      <c r="T39" s="50"/>
      <c r="U39" s="50"/>
      <c r="V39" s="50"/>
      <c r="W39" s="50"/>
      <c r="X39" s="50"/>
    </row>
    <row r="40" spans="2:24" ht="15">
      <c r="B40" s="73" t="s">
        <v>305</v>
      </c>
      <c r="C40" s="227" t="s">
        <v>270</v>
      </c>
      <c r="D40" s="60"/>
      <c r="E40" s="50"/>
      <c r="F40" s="50"/>
      <c r="G40" s="50"/>
      <c r="H40" s="50"/>
      <c r="I40" s="50"/>
      <c r="J40" s="50"/>
      <c r="K40" s="50"/>
      <c r="L40" s="50"/>
      <c r="M40" s="50"/>
      <c r="N40" s="50"/>
      <c r="O40" s="50"/>
      <c r="P40" s="50"/>
      <c r="Q40" s="50"/>
      <c r="R40" s="50"/>
      <c r="S40" s="50"/>
      <c r="T40" s="50"/>
      <c r="U40" s="50"/>
      <c r="V40" s="50"/>
      <c r="W40" s="50"/>
      <c r="X40" s="50"/>
    </row>
    <row r="41" spans="2:24" ht="15">
      <c r="B41" s="73" t="s">
        <v>204</v>
      </c>
      <c r="C41" s="83" t="s">
        <v>193</v>
      </c>
      <c r="D41" s="223"/>
    </row>
    <row r="42" spans="2:24" ht="15">
      <c r="D42" s="223"/>
    </row>
    <row r="44" spans="2:24">
      <c r="E44" s="143"/>
      <c r="F44" s="143"/>
    </row>
    <row r="45" spans="2:24" ht="15">
      <c r="E45" s="614"/>
      <c r="F45" s="614"/>
    </row>
  </sheetData>
  <mergeCells count="1">
    <mergeCell ref="E45:F45"/>
  </mergeCells>
  <hyperlinks>
    <hyperlink ref="B3" location="'Market Garden Budget'!A1" display="return to budget page"/>
    <hyperlink ref="C38" r:id="rId1"/>
    <hyperlink ref="C39" r:id="rId2"/>
    <hyperlink ref="C40" r:id="rId3"/>
  </hyperlinks>
  <pageMargins left="0.7" right="0.7" top="0.75" bottom="0.75" header="0.3" footer="0.3"/>
  <pageSetup scale="35" orientation="landscape" horizontalDpi="300" verticalDpi="30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9"/>
  <sheetViews>
    <sheetView topLeftCell="B1" zoomScale="70" zoomScaleNormal="70" workbookViewId="0">
      <selection activeCell="E32" sqref="E32"/>
    </sheetView>
  </sheetViews>
  <sheetFormatPr defaultRowHeight="14.25"/>
  <cols>
    <col min="1" max="1" width="9.140625" style="147"/>
    <col min="2" max="2" width="33.5703125" style="147" customWidth="1"/>
    <col min="3" max="4" width="23.42578125" style="366" customWidth="1"/>
    <col min="5" max="5" width="23.42578125" style="477" customWidth="1"/>
    <col min="6" max="6" width="23.42578125" style="366" customWidth="1"/>
    <col min="7" max="12" width="23.42578125" style="147" customWidth="1"/>
    <col min="13" max="16384" width="9.140625" style="147"/>
  </cols>
  <sheetData>
    <row r="1" spans="2:13" ht="29.25" customHeight="1"/>
    <row r="2" spans="2:13" ht="24" customHeight="1">
      <c r="B2" s="410" t="s">
        <v>563</v>
      </c>
    </row>
    <row r="3" spans="2:13" ht="18" customHeight="1">
      <c r="B3" s="315" t="s">
        <v>552</v>
      </c>
    </row>
    <row r="4" spans="2:13" ht="18" customHeight="1"/>
    <row r="5" spans="2:13" ht="39.75" customHeight="1" thickBot="1">
      <c r="B5" s="615" t="s">
        <v>391</v>
      </c>
      <c r="C5" s="615"/>
      <c r="D5" s="615"/>
      <c r="E5" s="615"/>
      <c r="F5" s="615"/>
      <c r="G5" s="615"/>
      <c r="H5" s="615"/>
      <c r="I5" s="615"/>
      <c r="J5" s="615"/>
      <c r="K5" s="615"/>
      <c r="L5" s="615"/>
    </row>
    <row r="6" spans="2:13" ht="93" customHeight="1" thickBot="1">
      <c r="B6" s="468" t="s">
        <v>185</v>
      </c>
      <c r="C6" s="469" t="s">
        <v>596</v>
      </c>
      <c r="D6" s="469" t="s">
        <v>597</v>
      </c>
      <c r="E6" s="470" t="s">
        <v>374</v>
      </c>
      <c r="F6" s="469" t="s">
        <v>373</v>
      </c>
      <c r="G6" s="471" t="s">
        <v>598</v>
      </c>
      <c r="H6" s="472" t="s">
        <v>335</v>
      </c>
      <c r="I6" s="472" t="s">
        <v>354</v>
      </c>
      <c r="J6" s="472" t="s">
        <v>358</v>
      </c>
      <c r="K6" s="472" t="s">
        <v>361</v>
      </c>
      <c r="L6" s="473" t="s">
        <v>360</v>
      </c>
    </row>
    <row r="7" spans="2:13" ht="18">
      <c r="B7" s="110" t="str">
        <f>'EARLY SEASON CROPS 1'!B17</f>
        <v>Cucumbers, long seedless</v>
      </c>
      <c r="C7" s="426">
        <v>850</v>
      </c>
      <c r="D7" s="416">
        <v>48.24</v>
      </c>
      <c r="E7" s="430">
        <v>24</v>
      </c>
      <c r="F7" s="481">
        <v>36</v>
      </c>
      <c r="G7" s="453">
        <f>12/E7*100</f>
        <v>50</v>
      </c>
      <c r="H7" s="113">
        <f>D7*(1000/C7)/1000*G7</f>
        <v>2.8376470588235296</v>
      </c>
      <c r="I7" s="454">
        <f>36/F7</f>
        <v>1</v>
      </c>
      <c r="J7" s="455">
        <f>H7*I7</f>
        <v>2.8376470588235296</v>
      </c>
      <c r="K7" s="456">
        <f>'EARLY SEASON CROPS 1'!G17+'MID SEASON CROPS 2'!G17+'LATE SEASON CROPS 3'!G17</f>
        <v>5</v>
      </c>
      <c r="L7" s="457">
        <f>J7*K7</f>
        <v>14.188235294117648</v>
      </c>
    </row>
    <row r="8" spans="2:13" ht="18">
      <c r="B8" s="110" t="str">
        <f>'EARLY SEASON CROPS 1'!B18</f>
        <v>Eggplant</v>
      </c>
      <c r="C8" s="426">
        <v>800</v>
      </c>
      <c r="D8" s="416">
        <v>47.95</v>
      </c>
      <c r="E8" s="430">
        <v>18</v>
      </c>
      <c r="F8" s="481">
        <v>18</v>
      </c>
      <c r="G8" s="453">
        <f t="shared" ref="G8:G17" si="0">12/E8*100</f>
        <v>66.666666666666657</v>
      </c>
      <c r="H8" s="113">
        <f t="shared" ref="H8:H17" si="1">D8*(1000/C8)/1000*G8</f>
        <v>3.9958333333333327</v>
      </c>
      <c r="I8" s="112">
        <f t="shared" ref="I8:I17" si="2">36/F8</f>
        <v>2</v>
      </c>
      <c r="J8" s="458">
        <f t="shared" ref="J8:J17" si="3">H8*I8</f>
        <v>7.9916666666666654</v>
      </c>
      <c r="K8" s="456">
        <f>'EARLY SEASON CROPS 1'!G18+'MID SEASON CROPS 2'!G18+'LATE SEASON CROPS 3'!G18</f>
        <v>1</v>
      </c>
      <c r="L8" s="457">
        <f t="shared" ref="L8:L17" si="4">J8*K8</f>
        <v>7.9916666666666654</v>
      </c>
    </row>
    <row r="9" spans="2:13" ht="18">
      <c r="B9" s="110" t="str">
        <f>'EARLY SEASON CROPS 1'!B22</f>
        <v>Muskmelon, cantaloupe**</v>
      </c>
      <c r="C9" s="426">
        <v>255</v>
      </c>
      <c r="D9" s="416">
        <v>26</v>
      </c>
      <c r="E9" s="430">
        <v>36</v>
      </c>
      <c r="F9" s="481">
        <v>36</v>
      </c>
      <c r="G9" s="453">
        <f t="shared" si="0"/>
        <v>33.333333333333329</v>
      </c>
      <c r="H9" s="113">
        <f t="shared" si="1"/>
        <v>3.3986928104575158</v>
      </c>
      <c r="I9" s="112">
        <f t="shared" si="2"/>
        <v>1</v>
      </c>
      <c r="J9" s="458">
        <f t="shared" si="3"/>
        <v>3.3986928104575158</v>
      </c>
      <c r="K9" s="456">
        <f>'EARLY SEASON CROPS 1'!G22+'MID SEASON CROPS 2'!G22+'LATE SEASON CROPS 3'!G22</f>
        <v>2</v>
      </c>
      <c r="L9" s="457">
        <f t="shared" si="4"/>
        <v>6.7973856209150316</v>
      </c>
    </row>
    <row r="10" spans="2:13" ht="18">
      <c r="B10" s="110" t="str">
        <f>'EARLY SEASON CROPS 1'!B23</f>
        <v>Okra</v>
      </c>
      <c r="C10" s="426">
        <v>750</v>
      </c>
      <c r="D10" s="416">
        <v>70</v>
      </c>
      <c r="E10" s="430">
        <v>18</v>
      </c>
      <c r="F10" s="481">
        <v>18</v>
      </c>
      <c r="G10" s="453">
        <f t="shared" si="0"/>
        <v>66.666666666666657</v>
      </c>
      <c r="H10" s="113">
        <f t="shared" si="1"/>
        <v>6.2222222222222205</v>
      </c>
      <c r="I10" s="112">
        <f t="shared" si="2"/>
        <v>2</v>
      </c>
      <c r="J10" s="458">
        <f t="shared" si="3"/>
        <v>12.444444444444441</v>
      </c>
      <c r="K10" s="456">
        <f>'EARLY SEASON CROPS 1'!G23+'MID SEASON CROPS 2'!G23+'LATE SEASON CROPS 3'!G23</f>
        <v>5</v>
      </c>
      <c r="L10" s="457">
        <f t="shared" si="4"/>
        <v>62.222222222222207</v>
      </c>
    </row>
    <row r="11" spans="2:13" ht="18">
      <c r="B11" s="110" t="str">
        <f>'EARLY SEASON CROPS 1'!B29</f>
        <v>Peppers, Sweet</v>
      </c>
      <c r="C11" s="426">
        <v>750</v>
      </c>
      <c r="D11" s="416">
        <v>58</v>
      </c>
      <c r="E11" s="430">
        <v>18</v>
      </c>
      <c r="F11" s="481">
        <v>18</v>
      </c>
      <c r="G11" s="453">
        <f t="shared" si="0"/>
        <v>66.666666666666657</v>
      </c>
      <c r="H11" s="113">
        <f t="shared" si="1"/>
        <v>5.1555555555555541</v>
      </c>
      <c r="I11" s="112">
        <f t="shared" si="2"/>
        <v>2</v>
      </c>
      <c r="J11" s="458">
        <f t="shared" si="3"/>
        <v>10.311111111111108</v>
      </c>
      <c r="K11" s="456">
        <f>'EARLY SEASON CROPS 1'!G29+'MID SEASON CROPS 2'!G29+'LATE SEASON CROPS 3'!G29</f>
        <v>5</v>
      </c>
      <c r="L11" s="457">
        <f t="shared" si="4"/>
        <v>51.555555555555543</v>
      </c>
    </row>
    <row r="12" spans="2:13" ht="18">
      <c r="B12" s="110" t="str">
        <f>'EARLY SEASON CROPS 1'!B30</f>
        <v>Peppers, Green</v>
      </c>
      <c r="C12" s="426">
        <v>500</v>
      </c>
      <c r="D12" s="416">
        <v>51.58</v>
      </c>
      <c r="E12" s="430">
        <v>18</v>
      </c>
      <c r="F12" s="481">
        <v>18</v>
      </c>
      <c r="G12" s="453">
        <f t="shared" si="0"/>
        <v>66.666666666666657</v>
      </c>
      <c r="H12" s="113">
        <f t="shared" si="1"/>
        <v>6.8773333333333326</v>
      </c>
      <c r="I12" s="112">
        <f t="shared" si="2"/>
        <v>2</v>
      </c>
      <c r="J12" s="458">
        <f t="shared" si="3"/>
        <v>13.754666666666665</v>
      </c>
      <c r="K12" s="456">
        <f>'EARLY SEASON CROPS 1'!G30+'MID SEASON CROPS 2'!G30+'LATE SEASON CROPS 3'!G30</f>
        <v>0</v>
      </c>
      <c r="L12" s="457">
        <f t="shared" si="4"/>
        <v>0</v>
      </c>
    </row>
    <row r="13" spans="2:13" ht="18">
      <c r="B13" s="110" t="str">
        <f>'EARLY SEASON CROPS 1'!B33</f>
        <v>Pumpkins</v>
      </c>
      <c r="C13" s="426">
        <v>333</v>
      </c>
      <c r="D13" s="416">
        <v>58.95</v>
      </c>
      <c r="E13" s="430">
        <v>48</v>
      </c>
      <c r="F13" s="481">
        <v>18</v>
      </c>
      <c r="G13" s="453">
        <f t="shared" si="0"/>
        <v>25</v>
      </c>
      <c r="H13" s="113">
        <f t="shared" si="1"/>
        <v>4.4256756756756754</v>
      </c>
      <c r="I13" s="112">
        <f t="shared" si="2"/>
        <v>2</v>
      </c>
      <c r="J13" s="458">
        <f t="shared" si="3"/>
        <v>8.8513513513513509</v>
      </c>
      <c r="K13" s="456">
        <f>'EARLY SEASON CROPS 1'!G33+'MID SEASON CROPS 2'!G33+'LATE SEASON CROPS 3'!G33</f>
        <v>0</v>
      </c>
      <c r="L13" s="457">
        <f t="shared" si="4"/>
        <v>0</v>
      </c>
    </row>
    <row r="14" spans="2:13" ht="18">
      <c r="B14" s="119" t="str">
        <f>'EARLY SEASON CROPS 1'!B36</f>
        <v>Squash, summer</v>
      </c>
      <c r="C14" s="435">
        <v>500</v>
      </c>
      <c r="D14" s="416">
        <v>16.2</v>
      </c>
      <c r="E14" s="430">
        <v>24</v>
      </c>
      <c r="F14" s="481">
        <v>24</v>
      </c>
      <c r="G14" s="453">
        <f t="shared" si="0"/>
        <v>50</v>
      </c>
      <c r="H14" s="113">
        <f t="shared" si="1"/>
        <v>1.6199999999999999</v>
      </c>
      <c r="I14" s="112">
        <f t="shared" si="2"/>
        <v>1.5</v>
      </c>
      <c r="J14" s="458">
        <f t="shared" si="3"/>
        <v>2.4299999999999997</v>
      </c>
      <c r="K14" s="456">
        <f>'EARLY SEASON CROPS 1'!G36+'MID SEASON CROPS 2'!G36+'LATE SEASON CROPS 3'!G36</f>
        <v>2</v>
      </c>
      <c r="L14" s="457">
        <f>J14*K14</f>
        <v>4.8599999999999994</v>
      </c>
    </row>
    <row r="15" spans="2:13" ht="18">
      <c r="B15" s="119" t="str">
        <f>'EARLY SEASON CROPS 1'!B37</f>
        <v>Squash, winter</v>
      </c>
      <c r="C15" s="426">
        <v>850</v>
      </c>
      <c r="D15" s="416">
        <v>189</v>
      </c>
      <c r="E15" s="430">
        <v>24</v>
      </c>
      <c r="F15" s="481">
        <v>24</v>
      </c>
      <c r="G15" s="453">
        <f t="shared" si="0"/>
        <v>50</v>
      </c>
      <c r="H15" s="113">
        <f t="shared" si="1"/>
        <v>11.117647058823531</v>
      </c>
      <c r="I15" s="112">
        <f t="shared" si="2"/>
        <v>1.5</v>
      </c>
      <c r="J15" s="458">
        <f t="shared" si="3"/>
        <v>16.676470588235297</v>
      </c>
      <c r="K15" s="456">
        <f>'EARLY SEASON CROPS 1'!G37+'MID SEASON CROPS 2'!G37+'LATE SEASON CROPS 3'!G37</f>
        <v>2</v>
      </c>
      <c r="L15" s="457">
        <f>J15*K15</f>
        <v>33.352941176470594</v>
      </c>
      <c r="M15" s="351"/>
    </row>
    <row r="16" spans="2:13" ht="18">
      <c r="B16" s="279" t="str">
        <f>'EARLY SEASON CROPS 1'!B38</f>
        <v>Tomatoes</v>
      </c>
      <c r="C16" s="426">
        <v>500</v>
      </c>
      <c r="D16" s="416">
        <v>60.2</v>
      </c>
      <c r="E16" s="430">
        <v>24</v>
      </c>
      <c r="F16" s="481">
        <v>36</v>
      </c>
      <c r="G16" s="453">
        <f t="shared" si="0"/>
        <v>50</v>
      </c>
      <c r="H16" s="113">
        <f t="shared" si="1"/>
        <v>6.0200000000000005</v>
      </c>
      <c r="I16" s="112">
        <f t="shared" si="2"/>
        <v>1</v>
      </c>
      <c r="J16" s="458">
        <f t="shared" si="3"/>
        <v>6.0200000000000005</v>
      </c>
      <c r="K16" s="456">
        <f>'EARLY SEASON CROPS 1'!G38+'MID SEASON CROPS 2'!G38+'LATE SEASON CROPS 3'!G38</f>
        <v>5</v>
      </c>
      <c r="L16" s="457">
        <f t="shared" si="4"/>
        <v>30.1</v>
      </c>
    </row>
    <row r="17" spans="2:12" ht="18.75" thickBot="1">
      <c r="B17" s="459" t="str">
        <f>'EARLY SEASON CROPS 1'!B41</f>
        <v>Watermelon**</v>
      </c>
      <c r="C17" s="441">
        <v>500</v>
      </c>
      <c r="D17" s="444">
        <v>3</v>
      </c>
      <c r="E17" s="446">
        <v>60</v>
      </c>
      <c r="F17" s="482">
        <v>36</v>
      </c>
      <c r="G17" s="460">
        <f t="shared" si="0"/>
        <v>20</v>
      </c>
      <c r="H17" s="461">
        <f t="shared" si="1"/>
        <v>0.12</v>
      </c>
      <c r="I17" s="462">
        <f t="shared" si="2"/>
        <v>1</v>
      </c>
      <c r="J17" s="463">
        <f t="shared" si="3"/>
        <v>0.12</v>
      </c>
      <c r="K17" s="464">
        <f>'EARLY SEASON CROPS 1'!G41+'MID SEASON CROPS 2'!G41+'LATE SEASON CROPS 3'!G41</f>
        <v>2</v>
      </c>
      <c r="L17" s="463">
        <f t="shared" si="4"/>
        <v>0.24</v>
      </c>
    </row>
    <row r="18" spans="2:12" ht="21" thickTop="1">
      <c r="B18" s="147" t="s">
        <v>379</v>
      </c>
      <c r="J18" s="465" t="s">
        <v>255</v>
      </c>
      <c r="K18" s="466">
        <f>SUM(K7:K17)</f>
        <v>29</v>
      </c>
      <c r="L18" s="467">
        <f>SUM(L7:L17)</f>
        <v>211.30800653594773</v>
      </c>
    </row>
    <row r="19" spans="2:12">
      <c r="B19" s="147" t="s">
        <v>337</v>
      </c>
    </row>
    <row r="20" spans="2:12">
      <c r="B20" s="147" t="s">
        <v>372</v>
      </c>
    </row>
    <row r="21" spans="2:12">
      <c r="B21" s="147" t="s">
        <v>599</v>
      </c>
    </row>
    <row r="22" spans="2:12" ht="14.25" customHeight="1">
      <c r="B22" s="346"/>
    </row>
    <row r="23" spans="2:12" ht="20.25">
      <c r="C23" s="474"/>
      <c r="D23" s="474"/>
      <c r="E23" s="478"/>
      <c r="F23" s="474"/>
      <c r="G23" s="346"/>
    </row>
    <row r="24" spans="2:12" ht="15">
      <c r="B24" s="347"/>
      <c r="C24" s="475"/>
      <c r="D24" s="475"/>
      <c r="E24" s="479"/>
      <c r="F24" s="475"/>
      <c r="G24" s="348"/>
    </row>
    <row r="25" spans="2:12" ht="15">
      <c r="B25" s="349"/>
      <c r="C25" s="476"/>
      <c r="D25" s="476"/>
      <c r="E25" s="480"/>
      <c r="F25" s="476"/>
      <c r="G25" s="350"/>
    </row>
    <row r="26" spans="2:12" ht="15">
      <c r="B26" s="349"/>
      <c r="C26" s="476"/>
      <c r="D26" s="476"/>
      <c r="E26" s="480"/>
      <c r="F26" s="476"/>
      <c r="G26" s="350"/>
    </row>
    <row r="27" spans="2:12" ht="15">
      <c r="B27" s="349"/>
      <c r="C27" s="476"/>
      <c r="D27" s="476"/>
      <c r="E27" s="480"/>
      <c r="F27" s="476"/>
      <c r="G27" s="350"/>
    </row>
    <row r="28" spans="2:12" ht="15">
      <c r="B28" s="349"/>
      <c r="C28" s="476"/>
      <c r="D28" s="476"/>
      <c r="E28" s="480"/>
      <c r="F28" s="476"/>
      <c r="G28" s="350"/>
    </row>
    <row r="29" spans="2:12" ht="15">
      <c r="B29" s="349"/>
      <c r="C29" s="476"/>
      <c r="D29" s="476"/>
      <c r="E29" s="480"/>
      <c r="F29" s="476"/>
      <c r="G29" s="350"/>
    </row>
    <row r="30" spans="2:12" ht="15">
      <c r="B30" s="349"/>
      <c r="C30" s="476"/>
      <c r="D30" s="476"/>
      <c r="E30" s="480"/>
      <c r="F30" s="476"/>
      <c r="G30" s="350"/>
    </row>
    <row r="31" spans="2:12" ht="15">
      <c r="B31" s="349"/>
      <c r="C31" s="476"/>
      <c r="D31" s="476"/>
      <c r="E31" s="480"/>
      <c r="F31" s="476"/>
      <c r="G31" s="350"/>
    </row>
    <row r="32" spans="2:12" ht="15">
      <c r="B32" s="349"/>
      <c r="C32" s="476"/>
      <c r="D32" s="476"/>
      <c r="E32" s="480"/>
      <c r="F32" s="476"/>
      <c r="G32" s="350"/>
    </row>
    <row r="33" spans="2:7" ht="15">
      <c r="B33" s="349"/>
      <c r="C33" s="476"/>
      <c r="D33" s="476"/>
      <c r="E33" s="480"/>
      <c r="F33" s="476"/>
      <c r="G33" s="350"/>
    </row>
    <row r="34" spans="2:7" ht="15">
      <c r="B34" s="349"/>
      <c r="C34" s="476"/>
      <c r="D34" s="476"/>
      <c r="E34" s="480"/>
      <c r="F34" s="476"/>
      <c r="G34" s="350"/>
    </row>
    <row r="35" spans="2:7" ht="15">
      <c r="B35" s="349"/>
      <c r="C35" s="476"/>
      <c r="D35" s="476"/>
      <c r="E35" s="480"/>
      <c r="F35" s="476"/>
      <c r="G35" s="350"/>
    </row>
    <row r="36" spans="2:7" ht="15">
      <c r="B36" s="349"/>
      <c r="C36" s="476"/>
      <c r="D36" s="476"/>
      <c r="E36" s="480"/>
      <c r="F36" s="476"/>
      <c r="G36" s="350"/>
    </row>
    <row r="37" spans="2:7" ht="15">
      <c r="B37" s="349"/>
      <c r="C37" s="476"/>
      <c r="D37" s="476"/>
      <c r="E37" s="480"/>
      <c r="F37" s="476"/>
      <c r="G37" s="350"/>
    </row>
    <row r="38" spans="2:7" ht="15">
      <c r="B38" s="349"/>
      <c r="C38" s="476"/>
      <c r="D38" s="476"/>
      <c r="E38" s="480"/>
      <c r="F38" s="476"/>
      <c r="G38" s="350"/>
    </row>
    <row r="39" spans="2:7" ht="15">
      <c r="B39" s="349"/>
      <c r="C39" s="476"/>
      <c r="D39" s="476"/>
      <c r="E39" s="480"/>
      <c r="F39" s="476"/>
      <c r="G39" s="350"/>
    </row>
  </sheetData>
  <mergeCells count="1">
    <mergeCell ref="B5:L5"/>
  </mergeCells>
  <dataValidations count="1">
    <dataValidation type="whole" allowBlank="1" showInputMessage="1" showErrorMessage="1" sqref="I7:I17">
      <formula1>0</formula1>
      <formula2>80</formula2>
    </dataValidation>
  </dataValidations>
  <hyperlinks>
    <hyperlink ref="B3" location="'Market Garden Budget'!A1" display="return to budget page"/>
  </hyperlinks>
  <pageMargins left="0.7" right="0.7" top="0.75" bottom="0.75" header="0.3" footer="0.3"/>
  <pageSetup scale="3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5"/>
  <sheetViews>
    <sheetView zoomScale="60" zoomScaleNormal="60" workbookViewId="0">
      <selection activeCell="H38" sqref="H38"/>
    </sheetView>
  </sheetViews>
  <sheetFormatPr defaultRowHeight="14.25"/>
  <cols>
    <col min="1" max="1" width="9.140625" style="52"/>
    <col min="2" max="2" width="33.5703125" style="52" customWidth="1"/>
    <col min="3" max="3" width="20.7109375" style="72" customWidth="1"/>
    <col min="4" max="6" width="20.7109375" style="79" customWidth="1"/>
    <col min="7" max="7" width="20.7109375" style="76" customWidth="1"/>
    <col min="8" max="8" width="20.7109375" style="52" customWidth="1"/>
    <col min="9" max="9" width="20.7109375" style="82" customWidth="1"/>
    <col min="10" max="13" width="20.7109375" style="52" customWidth="1"/>
    <col min="14" max="14" width="15.5703125" style="52" customWidth="1"/>
    <col min="15" max="16384" width="9.140625" style="52"/>
  </cols>
  <sheetData>
    <row r="1" spans="2:13" ht="30.75" customHeight="1"/>
    <row r="2" spans="2:13" s="147" customFormat="1" ht="24" customHeight="1">
      <c r="B2" s="410" t="s">
        <v>564</v>
      </c>
      <c r="E2" s="345"/>
    </row>
    <row r="3" spans="2:13" s="147" customFormat="1" ht="18" customHeight="1">
      <c r="B3" s="315" t="s">
        <v>552</v>
      </c>
      <c r="E3" s="345"/>
    </row>
    <row r="4" spans="2:13" s="147" customFormat="1" ht="18" customHeight="1">
      <c r="E4" s="345"/>
    </row>
    <row r="5" spans="2:13" ht="18.75" thickBot="1">
      <c r="B5" s="616" t="s">
        <v>391</v>
      </c>
      <c r="C5" s="616"/>
      <c r="D5" s="616"/>
      <c r="E5" s="616"/>
      <c r="F5" s="616"/>
      <c r="G5" s="616"/>
      <c r="H5" s="616"/>
      <c r="I5" s="616"/>
      <c r="J5" s="616"/>
      <c r="K5" s="616"/>
      <c r="L5" s="616"/>
      <c r="M5" s="616"/>
    </row>
    <row r="6" spans="2:13" ht="88.5" customHeight="1" thickBot="1">
      <c r="B6" s="421" t="s">
        <v>185</v>
      </c>
      <c r="C6" s="414" t="s">
        <v>602</v>
      </c>
      <c r="D6" s="483" t="s">
        <v>340</v>
      </c>
      <c r="E6" s="483" t="s">
        <v>380</v>
      </c>
      <c r="F6" s="422" t="s">
        <v>381</v>
      </c>
      <c r="G6" s="414" t="s">
        <v>603</v>
      </c>
      <c r="H6" s="423" t="s">
        <v>335</v>
      </c>
      <c r="I6" s="484" t="s">
        <v>566</v>
      </c>
      <c r="J6" s="424" t="s">
        <v>354</v>
      </c>
      <c r="K6" s="424" t="s">
        <v>357</v>
      </c>
      <c r="L6" s="424" t="s">
        <v>361</v>
      </c>
      <c r="M6" s="425" t="s">
        <v>359</v>
      </c>
    </row>
    <row r="7" spans="2:13" ht="18">
      <c r="B7" s="389" t="str">
        <f>'EARLY SEASON CROPS 1'!B7</f>
        <v>Beans, bush</v>
      </c>
      <c r="C7" s="426">
        <v>0</v>
      </c>
      <c r="D7" s="427">
        <v>175</v>
      </c>
      <c r="E7" s="427">
        <v>20</v>
      </c>
      <c r="F7" s="428">
        <f t="shared" ref="F7:F30" si="0">D7/E7*100</f>
        <v>875</v>
      </c>
      <c r="G7" s="416">
        <v>6.85</v>
      </c>
      <c r="H7" s="429">
        <f t="shared" ref="H7:H30" si="1">IF(C7=0,G7/1000*F7,IF(C7&gt;0,G7/C7*F7))</f>
        <v>5.9937499999999995</v>
      </c>
      <c r="I7" s="430">
        <v>36</v>
      </c>
      <c r="J7" s="431">
        <f>36/I7</f>
        <v>1</v>
      </c>
      <c r="K7" s="432">
        <f t="shared" ref="K7:K30" si="2">H7*J7</f>
        <v>5.9937499999999995</v>
      </c>
      <c r="L7" s="433">
        <f>'EARLY SEASON CROPS 1'!G7+'MID SEASON CROPS 2'!G7+'LATE SEASON CROPS 3'!G7</f>
        <v>0</v>
      </c>
      <c r="M7" s="434">
        <f>K7*L7</f>
        <v>0</v>
      </c>
    </row>
    <row r="8" spans="2:13" ht="18">
      <c r="B8" s="389" t="str">
        <f>'EARLY SEASON CROPS 1'!B8</f>
        <v>Beans, pole</v>
      </c>
      <c r="C8" s="426">
        <v>0</v>
      </c>
      <c r="D8" s="427">
        <v>250</v>
      </c>
      <c r="E8" s="427">
        <v>60</v>
      </c>
      <c r="F8" s="428">
        <f t="shared" si="0"/>
        <v>416.66666666666669</v>
      </c>
      <c r="G8" s="416">
        <v>33.5</v>
      </c>
      <c r="H8" s="429">
        <f t="shared" si="1"/>
        <v>13.958333333333334</v>
      </c>
      <c r="I8" s="430">
        <v>36</v>
      </c>
      <c r="J8" s="431">
        <f t="shared" ref="J8:J30" si="3">36/I8</f>
        <v>1</v>
      </c>
      <c r="K8" s="432">
        <f t="shared" si="2"/>
        <v>13.958333333333334</v>
      </c>
      <c r="L8" s="433">
        <f>'EARLY SEASON CROPS 1'!G8+'MID SEASON CROPS 2'!G8+'LATE SEASON CROPS 3'!G8</f>
        <v>0</v>
      </c>
      <c r="M8" s="434">
        <f t="shared" ref="M8:M30" si="4">K8*L8</f>
        <v>0</v>
      </c>
    </row>
    <row r="9" spans="2:13" ht="18">
      <c r="B9" s="389" t="str">
        <f>'EARLY SEASON CROPS 1'!B9</f>
        <v>Beets</v>
      </c>
      <c r="C9" s="426">
        <v>0</v>
      </c>
      <c r="D9" s="427">
        <v>350</v>
      </c>
      <c r="E9" s="427">
        <v>23</v>
      </c>
      <c r="F9" s="428">
        <f t="shared" si="0"/>
        <v>1521.7391304347825</v>
      </c>
      <c r="G9" s="416">
        <v>1.58</v>
      </c>
      <c r="H9" s="429">
        <f t="shared" si="1"/>
        <v>2.4043478260869562</v>
      </c>
      <c r="I9" s="430">
        <v>12</v>
      </c>
      <c r="J9" s="431">
        <f t="shared" si="3"/>
        <v>3</v>
      </c>
      <c r="K9" s="432">
        <f t="shared" si="2"/>
        <v>7.2130434782608681</v>
      </c>
      <c r="L9" s="433">
        <f>'EARLY SEASON CROPS 1'!G9+'MID SEASON CROPS 2'!G9+'LATE SEASON CROPS 3'!G9</f>
        <v>0</v>
      </c>
      <c r="M9" s="434">
        <f t="shared" si="4"/>
        <v>0</v>
      </c>
    </row>
    <row r="10" spans="2:13" ht="18">
      <c r="B10" s="389" t="str">
        <f>'EARLY SEASON CROPS 1'!B10</f>
        <v>Broccoli</v>
      </c>
      <c r="C10" s="426">
        <v>0</v>
      </c>
      <c r="D10" s="427">
        <v>100</v>
      </c>
      <c r="E10" s="427">
        <v>50</v>
      </c>
      <c r="F10" s="428">
        <f t="shared" si="0"/>
        <v>200</v>
      </c>
      <c r="G10" s="416">
        <v>7.7</v>
      </c>
      <c r="H10" s="429">
        <f t="shared" si="1"/>
        <v>1.54</v>
      </c>
      <c r="I10" s="430">
        <v>18</v>
      </c>
      <c r="J10" s="431">
        <f t="shared" si="3"/>
        <v>2</v>
      </c>
      <c r="K10" s="432">
        <f t="shared" si="2"/>
        <v>3.08</v>
      </c>
      <c r="L10" s="433">
        <f>'EARLY SEASON CROPS 1'!G10+'MID SEASON CROPS 2'!G10+'LATE SEASON CROPS 3'!G10</f>
        <v>8</v>
      </c>
      <c r="M10" s="434">
        <f t="shared" si="4"/>
        <v>24.64</v>
      </c>
    </row>
    <row r="11" spans="2:13" ht="18">
      <c r="B11" s="389" t="str">
        <f>'EARLY SEASON CROPS 1'!B11</f>
        <v>Brussel Sprouts</v>
      </c>
      <c r="C11" s="426">
        <v>0</v>
      </c>
      <c r="D11" s="427">
        <v>100</v>
      </c>
      <c r="E11" s="427">
        <v>33</v>
      </c>
      <c r="F11" s="428">
        <f t="shared" si="0"/>
        <v>303.030303030303</v>
      </c>
      <c r="G11" s="416">
        <v>27.95</v>
      </c>
      <c r="H11" s="429">
        <f t="shared" si="1"/>
        <v>8.4696969696969688</v>
      </c>
      <c r="I11" s="430">
        <v>36</v>
      </c>
      <c r="J11" s="431">
        <f t="shared" si="3"/>
        <v>1</v>
      </c>
      <c r="K11" s="432">
        <f t="shared" si="2"/>
        <v>8.4696969696969688</v>
      </c>
      <c r="L11" s="433">
        <f>'EARLY SEASON CROPS 1'!G11+'MID SEASON CROPS 2'!G11+'LATE SEASON CROPS 3'!G11</f>
        <v>5</v>
      </c>
      <c r="M11" s="434">
        <f t="shared" si="4"/>
        <v>42.348484848484844</v>
      </c>
    </row>
    <row r="12" spans="2:13" ht="18">
      <c r="B12" s="389" t="str">
        <f>'EARLY SEASON CROPS 1'!B12</f>
        <v>Cabbage</v>
      </c>
      <c r="C12" s="426">
        <v>0</v>
      </c>
      <c r="D12" s="427">
        <v>500</v>
      </c>
      <c r="E12" s="427">
        <v>250</v>
      </c>
      <c r="F12" s="428">
        <f t="shared" si="0"/>
        <v>200</v>
      </c>
      <c r="G12" s="416">
        <v>12.6</v>
      </c>
      <c r="H12" s="429">
        <f t="shared" si="1"/>
        <v>2.52</v>
      </c>
      <c r="I12" s="430">
        <v>18</v>
      </c>
      <c r="J12" s="431">
        <f t="shared" si="3"/>
        <v>2</v>
      </c>
      <c r="K12" s="432">
        <f t="shared" si="2"/>
        <v>5.04</v>
      </c>
      <c r="L12" s="433">
        <f>'EARLY SEASON CROPS 1'!G12+'MID SEASON CROPS 2'!G12+'LATE SEASON CROPS 3'!G12</f>
        <v>0</v>
      </c>
      <c r="M12" s="434">
        <f t="shared" si="4"/>
        <v>0</v>
      </c>
    </row>
    <row r="13" spans="2:13" ht="18">
      <c r="B13" s="389" t="str">
        <f>'EARLY SEASON CROPS 1'!B13</f>
        <v>Cabbage, Chinese**</v>
      </c>
      <c r="C13" s="435">
        <v>0</v>
      </c>
      <c r="D13" s="427">
        <v>100</v>
      </c>
      <c r="E13" s="427">
        <v>33</v>
      </c>
      <c r="F13" s="428">
        <f t="shared" si="0"/>
        <v>303.030303030303</v>
      </c>
      <c r="G13" s="416">
        <v>6.4</v>
      </c>
      <c r="H13" s="429">
        <f t="shared" si="1"/>
        <v>1.9393939393939392</v>
      </c>
      <c r="I13" s="430">
        <v>18</v>
      </c>
      <c r="J13" s="431">
        <f t="shared" si="3"/>
        <v>2</v>
      </c>
      <c r="K13" s="432">
        <f t="shared" si="2"/>
        <v>3.8787878787878785</v>
      </c>
      <c r="L13" s="433">
        <f>'EARLY SEASON CROPS 1'!G13+'MID SEASON CROPS 2'!G13+'LATE SEASON CROPS 3'!G13</f>
        <v>2</v>
      </c>
      <c r="M13" s="434">
        <f t="shared" si="4"/>
        <v>7.7575757575757569</v>
      </c>
    </row>
    <row r="14" spans="2:13" ht="18">
      <c r="B14" s="389" t="str">
        <f>'EARLY SEASON CROPS 1'!B14</f>
        <v>Carrots</v>
      </c>
      <c r="C14" s="426">
        <v>0</v>
      </c>
      <c r="D14" s="427">
        <v>750</v>
      </c>
      <c r="E14" s="427">
        <v>25</v>
      </c>
      <c r="F14" s="428">
        <f t="shared" si="0"/>
        <v>3000</v>
      </c>
      <c r="G14" s="416">
        <v>1.22</v>
      </c>
      <c r="H14" s="429">
        <f t="shared" si="1"/>
        <v>3.6599999999999997</v>
      </c>
      <c r="I14" s="430">
        <v>18</v>
      </c>
      <c r="J14" s="431">
        <f t="shared" si="3"/>
        <v>2</v>
      </c>
      <c r="K14" s="432">
        <f t="shared" si="2"/>
        <v>7.3199999999999994</v>
      </c>
      <c r="L14" s="433">
        <f>'EARLY SEASON CROPS 1'!G14+'MID SEASON CROPS 2'!G14+'LATE SEASON CROPS 3'!G14</f>
        <v>10</v>
      </c>
      <c r="M14" s="434">
        <f t="shared" si="4"/>
        <v>73.199999999999989</v>
      </c>
    </row>
    <row r="15" spans="2:13" ht="18">
      <c r="B15" s="389" t="str">
        <f>'EARLY SEASON CROPS 1'!B15</f>
        <v>Cauliflower</v>
      </c>
      <c r="C15" s="426">
        <v>0</v>
      </c>
      <c r="D15" s="427">
        <v>200</v>
      </c>
      <c r="E15" s="427">
        <v>100</v>
      </c>
      <c r="F15" s="428">
        <f t="shared" si="0"/>
        <v>200</v>
      </c>
      <c r="G15" s="416">
        <v>72.900000000000006</v>
      </c>
      <c r="H15" s="429">
        <f t="shared" si="1"/>
        <v>14.580000000000002</v>
      </c>
      <c r="I15" s="430">
        <v>36</v>
      </c>
      <c r="J15" s="431">
        <f t="shared" si="3"/>
        <v>1</v>
      </c>
      <c r="K15" s="432">
        <f t="shared" si="2"/>
        <v>14.580000000000002</v>
      </c>
      <c r="L15" s="433">
        <f>'EARLY SEASON CROPS 1'!G15+'MID SEASON CROPS 2'!G15+'LATE SEASON CROPS 3'!G15</f>
        <v>6</v>
      </c>
      <c r="M15" s="434">
        <f t="shared" si="4"/>
        <v>87.480000000000018</v>
      </c>
    </row>
    <row r="16" spans="2:13" ht="18">
      <c r="B16" s="389" t="str">
        <f>'EARLY SEASON CROPS 1'!B16</f>
        <v>Kale</v>
      </c>
      <c r="C16" s="436">
        <v>0</v>
      </c>
      <c r="D16" s="427">
        <v>100</v>
      </c>
      <c r="E16" s="427">
        <v>22</v>
      </c>
      <c r="F16" s="428">
        <f t="shared" si="0"/>
        <v>454.54545454545456</v>
      </c>
      <c r="G16" s="416">
        <v>13.25</v>
      </c>
      <c r="H16" s="429">
        <f t="shared" si="1"/>
        <v>6.0227272727272725</v>
      </c>
      <c r="I16" s="430">
        <v>18</v>
      </c>
      <c r="J16" s="431">
        <f t="shared" si="3"/>
        <v>2</v>
      </c>
      <c r="K16" s="432">
        <f t="shared" si="2"/>
        <v>12.045454545454545</v>
      </c>
      <c r="L16" s="433">
        <f>'EARLY SEASON CROPS 1'!G16+'MID SEASON CROPS 2'!G16+'LATE SEASON CROPS 3'!G16</f>
        <v>6</v>
      </c>
      <c r="M16" s="434">
        <f t="shared" si="4"/>
        <v>72.272727272727266</v>
      </c>
    </row>
    <row r="17" spans="2:13" ht="18">
      <c r="B17" s="389" t="str">
        <f>'EARLY SEASON CROPS 1'!B19</f>
        <v>Kohlrabi</v>
      </c>
      <c r="C17" s="426">
        <v>0</v>
      </c>
      <c r="D17" s="427">
        <v>100</v>
      </c>
      <c r="E17" s="427">
        <v>8</v>
      </c>
      <c r="F17" s="428">
        <f t="shared" si="0"/>
        <v>1250</v>
      </c>
      <c r="G17" s="416">
        <v>15.35</v>
      </c>
      <c r="H17" s="429">
        <f t="shared" si="1"/>
        <v>19.1875</v>
      </c>
      <c r="I17" s="430">
        <v>12</v>
      </c>
      <c r="J17" s="431">
        <f t="shared" si="3"/>
        <v>3</v>
      </c>
      <c r="K17" s="432">
        <f t="shared" si="2"/>
        <v>57.5625</v>
      </c>
      <c r="L17" s="433">
        <f>'EARLY SEASON CROPS 1'!G19+'MID SEASON CROPS 2'!G19+'LATE SEASON CROPS 3'!G19</f>
        <v>0</v>
      </c>
      <c r="M17" s="434">
        <f t="shared" si="4"/>
        <v>0</v>
      </c>
    </row>
    <row r="18" spans="2:13" ht="18">
      <c r="B18" s="389" t="str">
        <f>'EARLY SEASON CROPS 1'!B20</f>
        <v>Lettuce, head**</v>
      </c>
      <c r="C18" s="426">
        <v>0</v>
      </c>
      <c r="D18" s="427">
        <v>2000</v>
      </c>
      <c r="E18" s="427">
        <v>220</v>
      </c>
      <c r="F18" s="428">
        <f t="shared" si="0"/>
        <v>909.09090909090912</v>
      </c>
      <c r="G18" s="416">
        <v>8.1</v>
      </c>
      <c r="H18" s="429">
        <f t="shared" si="1"/>
        <v>7.3636363636363633</v>
      </c>
      <c r="I18" s="430">
        <v>12</v>
      </c>
      <c r="J18" s="431">
        <f t="shared" si="3"/>
        <v>3</v>
      </c>
      <c r="K18" s="432">
        <f t="shared" si="2"/>
        <v>22.09090909090909</v>
      </c>
      <c r="L18" s="433">
        <f>'EARLY SEASON CROPS 1'!G20+'MID SEASON CROPS 2'!G20+'LATE SEASON CROPS 3'!G20</f>
        <v>7</v>
      </c>
      <c r="M18" s="434">
        <f t="shared" si="4"/>
        <v>154.63636363636363</v>
      </c>
    </row>
    <row r="19" spans="2:13" ht="18">
      <c r="B19" s="389" t="str">
        <f>'EARLY SEASON CROPS 1'!B21</f>
        <v>Lettuce, leaf</v>
      </c>
      <c r="C19" s="426">
        <v>440000</v>
      </c>
      <c r="D19" s="427">
        <v>1000</v>
      </c>
      <c r="E19" s="427">
        <v>16</v>
      </c>
      <c r="F19" s="428">
        <f t="shared" si="0"/>
        <v>6250</v>
      </c>
      <c r="G19" s="416">
        <v>90</v>
      </c>
      <c r="H19" s="429">
        <f t="shared" si="1"/>
        <v>1.2784090909090908</v>
      </c>
      <c r="I19" s="430">
        <v>36</v>
      </c>
      <c r="J19" s="431">
        <f t="shared" si="3"/>
        <v>1</v>
      </c>
      <c r="K19" s="432">
        <f t="shared" si="2"/>
        <v>1.2784090909090908</v>
      </c>
      <c r="L19" s="433">
        <f>'EARLY SEASON CROPS 1'!G21+'MID SEASON CROPS 2'!G21+'LATE SEASON CROPS 3'!G21</f>
        <v>7</v>
      </c>
      <c r="M19" s="434">
        <f t="shared" si="4"/>
        <v>8.9488636363636367</v>
      </c>
    </row>
    <row r="20" spans="2:13" ht="18">
      <c r="B20" s="389" t="str">
        <f>'EARLY SEASON CROPS 1'!B24</f>
        <v>Onions (dry)</v>
      </c>
      <c r="C20" s="426">
        <v>0</v>
      </c>
      <c r="D20" s="427">
        <v>250</v>
      </c>
      <c r="E20" s="427">
        <v>12</v>
      </c>
      <c r="F20" s="428">
        <f t="shared" si="0"/>
        <v>2083.333333333333</v>
      </c>
      <c r="G20" s="416">
        <v>4.5</v>
      </c>
      <c r="H20" s="429">
        <f t="shared" si="1"/>
        <v>9.3749999999999982</v>
      </c>
      <c r="I20" s="430">
        <v>12</v>
      </c>
      <c r="J20" s="431">
        <f t="shared" si="3"/>
        <v>3</v>
      </c>
      <c r="K20" s="432">
        <f t="shared" si="2"/>
        <v>28.124999999999993</v>
      </c>
      <c r="L20" s="433">
        <f>'EARLY SEASON CROPS 1'!G24+'MID SEASON CROPS 2'!G23+'LATE SEASON CROPS 3'!G24</f>
        <v>7</v>
      </c>
      <c r="M20" s="434">
        <f t="shared" si="4"/>
        <v>196.87499999999994</v>
      </c>
    </row>
    <row r="21" spans="2:13" ht="18">
      <c r="B21" s="389" t="str">
        <f>'EARLY SEASON CROPS 1'!B25</f>
        <v>Parsley</v>
      </c>
      <c r="C21" s="426">
        <v>14100</v>
      </c>
      <c r="D21" s="427">
        <v>7200</v>
      </c>
      <c r="E21" s="427">
        <v>100</v>
      </c>
      <c r="F21" s="428">
        <f t="shared" si="0"/>
        <v>7200</v>
      </c>
      <c r="G21" s="416">
        <v>24.25</v>
      </c>
      <c r="H21" s="429">
        <f t="shared" si="1"/>
        <v>12.382978723404255</v>
      </c>
      <c r="I21" s="430">
        <v>12</v>
      </c>
      <c r="J21" s="431">
        <f t="shared" si="3"/>
        <v>3</v>
      </c>
      <c r="K21" s="432">
        <f t="shared" si="2"/>
        <v>37.148936170212764</v>
      </c>
      <c r="L21" s="433">
        <f>'EARLY SEASON CROPS 1'!G25+'MID SEASON CROPS 2'!G24+'LATE SEASON CROPS 3'!G25</f>
        <v>1</v>
      </c>
      <c r="M21" s="434">
        <f t="shared" si="4"/>
        <v>37.148936170212764</v>
      </c>
    </row>
    <row r="22" spans="2:13" ht="18">
      <c r="B22" s="389" t="str">
        <f>'EARLY SEASON CROPS 1'!B26</f>
        <v>Parsnips</v>
      </c>
      <c r="C22" s="426">
        <v>109550</v>
      </c>
      <c r="D22" s="427">
        <v>350</v>
      </c>
      <c r="E22" s="427">
        <v>17</v>
      </c>
      <c r="F22" s="428">
        <f t="shared" si="0"/>
        <v>2058.8235294117649</v>
      </c>
      <c r="G22" s="416">
        <v>97.55</v>
      </c>
      <c r="H22" s="429">
        <f t="shared" si="1"/>
        <v>1.8333020109002069</v>
      </c>
      <c r="I22" s="430">
        <v>18</v>
      </c>
      <c r="J22" s="431">
        <f t="shared" si="3"/>
        <v>2</v>
      </c>
      <c r="K22" s="432">
        <f t="shared" si="2"/>
        <v>3.6666040218004139</v>
      </c>
      <c r="L22" s="433">
        <f>'EARLY SEASON CROPS 1'!G26+'MID SEASON CROPS 2'!G25+'LATE SEASON CROPS 3'!G26</f>
        <v>4</v>
      </c>
      <c r="M22" s="434">
        <f t="shared" si="4"/>
        <v>14.666416087201656</v>
      </c>
    </row>
    <row r="23" spans="2:13" ht="18">
      <c r="B23" s="389" t="str">
        <f>'EARLY SEASON CROPS 1'!B27</f>
        <v>Peas, English</v>
      </c>
      <c r="C23" s="437">
        <v>2100</v>
      </c>
      <c r="D23" s="427">
        <v>250</v>
      </c>
      <c r="E23" s="427">
        <v>8</v>
      </c>
      <c r="F23" s="428">
        <f t="shared" si="0"/>
        <v>3125</v>
      </c>
      <c r="G23" s="416">
        <v>10</v>
      </c>
      <c r="H23" s="429">
        <f t="shared" si="1"/>
        <v>14.880952380952383</v>
      </c>
      <c r="I23" s="430">
        <v>18</v>
      </c>
      <c r="J23" s="431">
        <f t="shared" si="3"/>
        <v>2</v>
      </c>
      <c r="K23" s="432">
        <f t="shared" si="2"/>
        <v>29.761904761904766</v>
      </c>
      <c r="L23" s="433">
        <f>'EARLY SEASON CROPS 1'!G27+'MID SEASON CROPS 2'!G26+'LATE SEASON CROPS 3'!G27</f>
        <v>2</v>
      </c>
      <c r="M23" s="434">
        <f t="shared" si="4"/>
        <v>59.523809523809533</v>
      </c>
    </row>
    <row r="24" spans="2:13" ht="18">
      <c r="B24" s="389" t="str">
        <f>'EARLY SEASON CROPS 1'!B28</f>
        <v>Peas, Southern</v>
      </c>
      <c r="C24" s="438">
        <v>0</v>
      </c>
      <c r="D24" s="427">
        <v>600</v>
      </c>
      <c r="E24" s="427">
        <v>100</v>
      </c>
      <c r="F24" s="428">
        <f t="shared" si="0"/>
        <v>600</v>
      </c>
      <c r="G24" s="416">
        <v>5.75</v>
      </c>
      <c r="H24" s="429">
        <f t="shared" si="1"/>
        <v>3.4499999999999997</v>
      </c>
      <c r="I24" s="430">
        <v>36</v>
      </c>
      <c r="J24" s="431">
        <f t="shared" si="3"/>
        <v>1</v>
      </c>
      <c r="K24" s="432">
        <f t="shared" si="2"/>
        <v>3.4499999999999997</v>
      </c>
      <c r="L24" s="433">
        <f>'EARLY SEASON CROPS 1'!G28+'MID SEASON CROPS 2'!G27+'LATE SEASON CROPS 3'!G28</f>
        <v>2</v>
      </c>
      <c r="M24" s="434">
        <f t="shared" si="4"/>
        <v>6.8999999999999995</v>
      </c>
    </row>
    <row r="25" spans="2:13" ht="18">
      <c r="B25" s="392" t="str">
        <f>'EARLY SEASON CROPS 1'!B31</f>
        <v>Potatoes, Irish</v>
      </c>
      <c r="C25" s="438">
        <v>20</v>
      </c>
      <c r="D25" s="427">
        <v>200</v>
      </c>
      <c r="E25" s="427">
        <v>100</v>
      </c>
      <c r="F25" s="428">
        <f t="shared" si="0"/>
        <v>200</v>
      </c>
      <c r="G25" s="416">
        <v>0.8</v>
      </c>
      <c r="H25" s="429">
        <f t="shared" si="1"/>
        <v>8</v>
      </c>
      <c r="I25" s="430">
        <v>36</v>
      </c>
      <c r="J25" s="431">
        <f t="shared" si="3"/>
        <v>1</v>
      </c>
      <c r="K25" s="432">
        <f t="shared" si="2"/>
        <v>8</v>
      </c>
      <c r="L25" s="433">
        <f>'EARLY SEASON CROPS 1'!G31+'MID SEASON CROPS 2'!G31+'LATE SEASON CROPS 3'!G31</f>
        <v>0</v>
      </c>
      <c r="M25" s="434">
        <f t="shared" si="4"/>
        <v>0</v>
      </c>
    </row>
    <row r="26" spans="2:13" ht="18">
      <c r="B26" s="392" t="str">
        <f>'EARLY SEASON CROPS 1'!B32</f>
        <v>Potatoes, Sweet</v>
      </c>
      <c r="C26" s="437">
        <v>0</v>
      </c>
      <c r="D26" s="427">
        <v>100</v>
      </c>
      <c r="E26" s="427">
        <v>100</v>
      </c>
      <c r="F26" s="428">
        <f t="shared" si="0"/>
        <v>100</v>
      </c>
      <c r="G26" s="416">
        <v>315</v>
      </c>
      <c r="H26" s="429">
        <f t="shared" si="1"/>
        <v>31.5</v>
      </c>
      <c r="I26" s="430">
        <v>36</v>
      </c>
      <c r="J26" s="431">
        <f t="shared" si="3"/>
        <v>1</v>
      </c>
      <c r="K26" s="432">
        <f t="shared" si="2"/>
        <v>31.5</v>
      </c>
      <c r="L26" s="433">
        <f>'EARLY SEASON CROPS 1'!G32+'MID SEASON CROPS 2'!G32+'LATE SEASON CROPS 3'!G32</f>
        <v>0</v>
      </c>
      <c r="M26" s="434">
        <f t="shared" si="4"/>
        <v>0</v>
      </c>
    </row>
    <row r="27" spans="2:13" ht="18">
      <c r="B27" s="439" t="str">
        <f>'EARLY SEASON CROPS 1'!B34</f>
        <v>Radishes**</v>
      </c>
      <c r="C27" s="426">
        <v>50600</v>
      </c>
      <c r="D27" s="427">
        <v>250</v>
      </c>
      <c r="E27" s="427">
        <v>7</v>
      </c>
      <c r="F27" s="428">
        <f t="shared" si="0"/>
        <v>3571.4285714285716</v>
      </c>
      <c r="G27" s="416">
        <v>20.149999999999999</v>
      </c>
      <c r="H27" s="429">
        <f t="shared" si="1"/>
        <v>1.4222190852625634</v>
      </c>
      <c r="I27" s="430">
        <v>1</v>
      </c>
      <c r="J27" s="431">
        <f>36/I27</f>
        <v>36</v>
      </c>
      <c r="K27" s="432">
        <f t="shared" si="2"/>
        <v>51.199887069452281</v>
      </c>
      <c r="L27" s="433">
        <f>'EARLY SEASON CROPS 1'!G34+'MID SEASON CROPS 2'!G34+'LATE SEASON CROPS 3'!G34</f>
        <v>0</v>
      </c>
      <c r="M27" s="434">
        <f t="shared" si="4"/>
        <v>0</v>
      </c>
    </row>
    <row r="28" spans="2:13" ht="18">
      <c r="B28" s="439" t="str">
        <f>'EARLY SEASON CROPS 1'!B35</f>
        <v>Spinach</v>
      </c>
      <c r="C28" s="426">
        <v>38800</v>
      </c>
      <c r="D28" s="427">
        <v>144000</v>
      </c>
      <c r="E28" s="427">
        <v>100</v>
      </c>
      <c r="F28" s="428">
        <f t="shared" si="0"/>
        <v>144000</v>
      </c>
      <c r="G28" s="416">
        <v>1.05</v>
      </c>
      <c r="H28" s="429">
        <f t="shared" si="1"/>
        <v>3.8969072164948457</v>
      </c>
      <c r="I28" s="430">
        <v>12</v>
      </c>
      <c r="J28" s="431">
        <f t="shared" si="3"/>
        <v>3</v>
      </c>
      <c r="K28" s="432">
        <f t="shared" si="2"/>
        <v>11.690721649484537</v>
      </c>
      <c r="L28" s="433">
        <f>'EARLY SEASON CROPS 1'!G35+'MID SEASON CROPS 2'!G35+'LATE SEASON CROPS 3'!G35</f>
        <v>4</v>
      </c>
      <c r="M28" s="434">
        <f t="shared" si="4"/>
        <v>46.762886597938149</v>
      </c>
    </row>
    <row r="29" spans="2:13" ht="18">
      <c r="B29" s="389" t="str">
        <f>'EARLY SEASON CROPS 1'!B39</f>
        <v>Turnip, greens</v>
      </c>
      <c r="C29" s="426">
        <v>217500</v>
      </c>
      <c r="D29" s="427">
        <v>2400</v>
      </c>
      <c r="E29" s="427">
        <v>100</v>
      </c>
      <c r="F29" s="428">
        <f t="shared" si="0"/>
        <v>2400</v>
      </c>
      <c r="G29" s="416">
        <v>13.6</v>
      </c>
      <c r="H29" s="429">
        <f t="shared" si="1"/>
        <v>0.15006896551724139</v>
      </c>
      <c r="I29" s="430">
        <v>12</v>
      </c>
      <c r="J29" s="431">
        <f t="shared" si="3"/>
        <v>3</v>
      </c>
      <c r="K29" s="432">
        <f t="shared" si="2"/>
        <v>0.45020689655172419</v>
      </c>
      <c r="L29" s="440">
        <f>'EARLY SEASON CROPS 1'!G39+'MID SEASON CROPS 2'!G39+'LATE SEASON CROPS 3'!G39</f>
        <v>2</v>
      </c>
      <c r="M29" s="434">
        <f t="shared" si="4"/>
        <v>0.90041379310344838</v>
      </c>
    </row>
    <row r="30" spans="2:13" ht="18.75" thickBot="1">
      <c r="B30" s="393" t="str">
        <f>'EARLY SEASON CROPS 1'!B40</f>
        <v>Turnip, roots</v>
      </c>
      <c r="C30" s="441">
        <v>217500</v>
      </c>
      <c r="D30" s="442">
        <v>2400</v>
      </c>
      <c r="E30" s="442">
        <v>100</v>
      </c>
      <c r="F30" s="443">
        <f t="shared" si="0"/>
        <v>2400</v>
      </c>
      <c r="G30" s="444">
        <v>13.6</v>
      </c>
      <c r="H30" s="445">
        <f t="shared" si="1"/>
        <v>0.15006896551724139</v>
      </c>
      <c r="I30" s="446">
        <v>12</v>
      </c>
      <c r="J30" s="447">
        <f t="shared" si="3"/>
        <v>3</v>
      </c>
      <c r="K30" s="448">
        <f t="shared" si="2"/>
        <v>0.45020689655172419</v>
      </c>
      <c r="L30" s="449">
        <f>'EARLY SEASON CROPS 1'!G40+'MID SEASON CROPS 2'!G40+'LATE SEASON CROPS 3'!G40</f>
        <v>0</v>
      </c>
      <c r="M30" s="448">
        <f t="shared" si="4"/>
        <v>0</v>
      </c>
    </row>
    <row r="31" spans="2:13" ht="21" thickTop="1">
      <c r="B31" s="50" t="s">
        <v>565</v>
      </c>
      <c r="C31" s="73"/>
      <c r="D31" s="74"/>
      <c r="E31" s="74"/>
      <c r="F31" s="75"/>
      <c r="H31" s="77"/>
      <c r="I31" s="54"/>
      <c r="J31" s="78"/>
      <c r="K31" s="450" t="s">
        <v>255</v>
      </c>
      <c r="L31" s="451">
        <f>SUM(L7:L30)</f>
        <v>73</v>
      </c>
      <c r="M31" s="452">
        <f>SUM(M7:M30)</f>
        <v>834.06147732378065</v>
      </c>
    </row>
    <row r="32" spans="2:13" ht="15">
      <c r="B32" s="52" t="s">
        <v>600</v>
      </c>
      <c r="G32" s="80"/>
      <c r="H32" s="50"/>
      <c r="I32" s="55"/>
      <c r="J32" s="50"/>
      <c r="K32" s="50"/>
      <c r="L32" s="50"/>
    </row>
    <row r="33" spans="2:13" ht="15">
      <c r="G33" s="81"/>
    </row>
    <row r="34" spans="2:13" ht="15">
      <c r="D34" s="63"/>
      <c r="E34" s="63"/>
      <c r="F34" s="63"/>
      <c r="G34" s="81"/>
    </row>
    <row r="35" spans="2:13" ht="15">
      <c r="B35" s="77" t="s">
        <v>297</v>
      </c>
      <c r="C35" s="52"/>
      <c r="D35" s="83" t="s">
        <v>298</v>
      </c>
      <c r="E35" s="52"/>
      <c r="F35" s="63"/>
      <c r="G35" s="81"/>
    </row>
    <row r="36" spans="2:13" ht="15.75" thickBot="1">
      <c r="F36" s="83"/>
      <c r="G36" s="81"/>
    </row>
    <row r="37" spans="2:13" ht="31.5" customHeight="1" thickBot="1">
      <c r="B37" s="84" t="s">
        <v>339</v>
      </c>
      <c r="C37" s="85"/>
      <c r="D37" s="85"/>
      <c r="E37" s="86"/>
      <c r="F37" s="87"/>
      <c r="G37" s="88"/>
      <c r="J37" s="617" t="s">
        <v>342</v>
      </c>
      <c r="K37" s="618"/>
      <c r="L37" s="618"/>
      <c r="M37" s="89"/>
    </row>
    <row r="38" spans="2:13" ht="94.5" customHeight="1" thickBot="1">
      <c r="B38" s="486" t="s">
        <v>185</v>
      </c>
      <c r="C38" s="486" t="s">
        <v>601</v>
      </c>
      <c r="D38" s="486" t="s">
        <v>341</v>
      </c>
      <c r="E38" s="420" t="s">
        <v>338</v>
      </c>
      <c r="F38" s="90"/>
      <c r="G38" s="91"/>
      <c r="J38" s="485" t="s">
        <v>409</v>
      </c>
      <c r="K38" s="414" t="s">
        <v>408</v>
      </c>
      <c r="L38" s="419" t="s">
        <v>602</v>
      </c>
    </row>
    <row r="39" spans="2:13" ht="18">
      <c r="B39" s="487" t="s">
        <v>156</v>
      </c>
      <c r="C39" s="487">
        <v>18</v>
      </c>
      <c r="D39" s="487">
        <v>3</v>
      </c>
      <c r="E39" s="488">
        <f t="shared" ref="E39:E45" si="5">IF(C39&gt;0,100/(C39/12)*D39)</f>
        <v>200</v>
      </c>
      <c r="F39" s="87"/>
      <c r="G39" s="92"/>
      <c r="J39" s="492" t="s">
        <v>343</v>
      </c>
      <c r="K39" s="426">
        <v>27500</v>
      </c>
      <c r="L39" s="495">
        <f t="shared" ref="L39:L53" si="6">K39*16</f>
        <v>440000</v>
      </c>
    </row>
    <row r="40" spans="2:13" ht="18">
      <c r="B40" s="487" t="s">
        <v>180</v>
      </c>
      <c r="C40" s="487">
        <v>1</v>
      </c>
      <c r="D40" s="487">
        <v>3</v>
      </c>
      <c r="E40" s="489">
        <f t="shared" si="5"/>
        <v>3600</v>
      </c>
      <c r="F40" s="87"/>
      <c r="G40" s="92"/>
      <c r="J40" s="492" t="s">
        <v>180</v>
      </c>
      <c r="K40" s="426">
        <v>1400</v>
      </c>
      <c r="L40" s="495">
        <f t="shared" si="6"/>
        <v>22400</v>
      </c>
    </row>
    <row r="41" spans="2:13" ht="18">
      <c r="B41" s="487" t="s">
        <v>344</v>
      </c>
      <c r="C41" s="487">
        <v>2</v>
      </c>
      <c r="D41" s="487">
        <v>1</v>
      </c>
      <c r="E41" s="489">
        <f t="shared" si="5"/>
        <v>600</v>
      </c>
      <c r="F41" s="87"/>
      <c r="G41" s="92"/>
      <c r="J41" s="492"/>
      <c r="K41" s="426">
        <v>0</v>
      </c>
      <c r="L41" s="495">
        <f t="shared" si="6"/>
        <v>0</v>
      </c>
    </row>
    <row r="42" spans="2:13" ht="18">
      <c r="B42" s="487" t="s">
        <v>345</v>
      </c>
      <c r="C42" s="487">
        <v>6</v>
      </c>
      <c r="D42" s="487">
        <v>1</v>
      </c>
      <c r="E42" s="489">
        <f t="shared" si="5"/>
        <v>200</v>
      </c>
      <c r="F42" s="87"/>
      <c r="G42" s="92"/>
      <c r="J42" s="492"/>
      <c r="K42" s="426">
        <v>0</v>
      </c>
      <c r="L42" s="495">
        <f t="shared" si="6"/>
        <v>0</v>
      </c>
    </row>
    <row r="43" spans="2:13" ht="18">
      <c r="B43" s="487" t="s">
        <v>346</v>
      </c>
      <c r="C43" s="487">
        <v>12</v>
      </c>
      <c r="D43" s="487">
        <v>1</v>
      </c>
      <c r="E43" s="489">
        <f t="shared" si="5"/>
        <v>100</v>
      </c>
      <c r="F43" s="87"/>
      <c r="G43" s="92"/>
      <c r="J43" s="492"/>
      <c r="K43" s="426">
        <v>0</v>
      </c>
      <c r="L43" s="495">
        <f t="shared" si="6"/>
        <v>0</v>
      </c>
    </row>
    <row r="44" spans="2:13" ht="18">
      <c r="B44" s="487" t="s">
        <v>306</v>
      </c>
      <c r="C44" s="487">
        <v>1</v>
      </c>
      <c r="D44" s="487">
        <v>40</v>
      </c>
      <c r="E44" s="489">
        <f t="shared" si="5"/>
        <v>48000</v>
      </c>
      <c r="F44" s="87"/>
      <c r="G44" s="92"/>
      <c r="J44" s="492"/>
      <c r="K44" s="426">
        <v>0</v>
      </c>
      <c r="L44" s="495">
        <f t="shared" si="6"/>
        <v>0</v>
      </c>
    </row>
    <row r="45" spans="2:13" ht="18">
      <c r="B45" s="487" t="s">
        <v>347</v>
      </c>
      <c r="C45" s="487">
        <v>1</v>
      </c>
      <c r="D45" s="487">
        <v>1</v>
      </c>
      <c r="E45" s="489">
        <f t="shared" si="5"/>
        <v>1200</v>
      </c>
      <c r="F45" s="87"/>
      <c r="G45" s="92"/>
      <c r="J45" s="492"/>
      <c r="K45" s="426">
        <v>0</v>
      </c>
      <c r="L45" s="495">
        <f t="shared" si="6"/>
        <v>0</v>
      </c>
    </row>
    <row r="46" spans="2:13" ht="18">
      <c r="B46" s="487" t="s">
        <v>348</v>
      </c>
      <c r="C46" s="487">
        <v>0</v>
      </c>
      <c r="D46" s="487">
        <v>0</v>
      </c>
      <c r="E46" s="489">
        <f>IF(C46&gt;0,100/(C46/12)*D46,0)</f>
        <v>0</v>
      </c>
      <c r="F46" s="87"/>
      <c r="G46" s="92"/>
      <c r="J46" s="492"/>
      <c r="K46" s="426">
        <v>0</v>
      </c>
      <c r="L46" s="495">
        <f t="shared" si="6"/>
        <v>0</v>
      </c>
    </row>
    <row r="47" spans="2:13" ht="18">
      <c r="B47" s="487"/>
      <c r="C47" s="487">
        <v>0</v>
      </c>
      <c r="D47" s="487">
        <v>0</v>
      </c>
      <c r="E47" s="489">
        <f t="shared" ref="E47:E53" si="7">IF(C47&gt;0,100/(C47/12)*D47,0)</f>
        <v>0</v>
      </c>
      <c r="F47" s="87"/>
      <c r="G47" s="92"/>
      <c r="J47" s="492"/>
      <c r="K47" s="426">
        <v>0</v>
      </c>
      <c r="L47" s="495">
        <f t="shared" si="6"/>
        <v>0</v>
      </c>
    </row>
    <row r="48" spans="2:13" ht="18">
      <c r="B48" s="487"/>
      <c r="C48" s="487">
        <v>0</v>
      </c>
      <c r="D48" s="487">
        <v>0</v>
      </c>
      <c r="E48" s="489">
        <f t="shared" si="7"/>
        <v>0</v>
      </c>
      <c r="F48" s="87"/>
      <c r="G48" s="92"/>
      <c r="J48" s="492"/>
      <c r="K48" s="426">
        <v>0</v>
      </c>
      <c r="L48" s="495">
        <f t="shared" si="6"/>
        <v>0</v>
      </c>
    </row>
    <row r="49" spans="2:12" ht="18">
      <c r="B49" s="487"/>
      <c r="C49" s="487">
        <v>0</v>
      </c>
      <c r="D49" s="487">
        <v>0</v>
      </c>
      <c r="E49" s="489">
        <f t="shared" si="7"/>
        <v>0</v>
      </c>
      <c r="F49" s="87"/>
      <c r="G49" s="92"/>
      <c r="J49" s="492"/>
      <c r="K49" s="426">
        <v>0</v>
      </c>
      <c r="L49" s="495">
        <f t="shared" si="6"/>
        <v>0</v>
      </c>
    </row>
    <row r="50" spans="2:12" ht="18">
      <c r="B50" s="487"/>
      <c r="C50" s="487">
        <v>0</v>
      </c>
      <c r="D50" s="487">
        <v>0</v>
      </c>
      <c r="E50" s="489">
        <f t="shared" si="7"/>
        <v>0</v>
      </c>
      <c r="F50" s="87"/>
      <c r="G50" s="92"/>
      <c r="J50" s="492"/>
      <c r="K50" s="426">
        <v>0</v>
      </c>
      <c r="L50" s="495">
        <f t="shared" si="6"/>
        <v>0</v>
      </c>
    </row>
    <row r="51" spans="2:12" ht="18">
      <c r="B51" s="487"/>
      <c r="C51" s="487">
        <v>0</v>
      </c>
      <c r="D51" s="487">
        <v>0</v>
      </c>
      <c r="E51" s="489">
        <f t="shared" si="7"/>
        <v>0</v>
      </c>
      <c r="F51" s="87"/>
      <c r="G51" s="92"/>
      <c r="J51" s="492"/>
      <c r="K51" s="426">
        <v>0</v>
      </c>
      <c r="L51" s="495">
        <f t="shared" si="6"/>
        <v>0</v>
      </c>
    </row>
    <row r="52" spans="2:12" ht="18">
      <c r="B52" s="487"/>
      <c r="C52" s="487">
        <v>0</v>
      </c>
      <c r="D52" s="487">
        <v>0</v>
      </c>
      <c r="E52" s="489">
        <f t="shared" si="7"/>
        <v>0</v>
      </c>
      <c r="F52" s="87"/>
      <c r="G52" s="92"/>
      <c r="J52" s="492"/>
      <c r="K52" s="426">
        <v>0</v>
      </c>
      <c r="L52" s="495">
        <f t="shared" si="6"/>
        <v>0</v>
      </c>
    </row>
    <row r="53" spans="2:12" ht="18.75" thickBot="1">
      <c r="B53" s="490"/>
      <c r="C53" s="490">
        <v>0</v>
      </c>
      <c r="D53" s="490">
        <v>0</v>
      </c>
      <c r="E53" s="491">
        <f t="shared" si="7"/>
        <v>0</v>
      </c>
      <c r="F53" s="87"/>
      <c r="G53" s="92"/>
      <c r="J53" s="493"/>
      <c r="K53" s="494">
        <v>0</v>
      </c>
      <c r="L53" s="496">
        <f t="shared" si="6"/>
        <v>0</v>
      </c>
    </row>
    <row r="54" spans="2:12" ht="15">
      <c r="D54" s="63"/>
      <c r="E54" s="63"/>
      <c r="F54" s="63"/>
      <c r="G54" s="81"/>
    </row>
    <row r="55" spans="2:12" ht="15">
      <c r="D55" s="63"/>
      <c r="E55" s="63"/>
      <c r="F55" s="63"/>
      <c r="G55" s="81"/>
    </row>
  </sheetData>
  <mergeCells count="2">
    <mergeCell ref="B5:M5"/>
    <mergeCell ref="J37:L37"/>
  </mergeCells>
  <dataValidations count="3">
    <dataValidation type="whole" allowBlank="1" showInputMessage="1" showErrorMessage="1" sqref="C68:C1048576 C7:C30">
      <formula1>0</formula1>
      <formula2>100000000000</formula2>
    </dataValidation>
    <dataValidation type="whole" allowBlank="1" showInputMessage="1" showErrorMessage="1" sqref="J7:J30 L7:L30">
      <formula1>0</formula1>
      <formula2>80</formula2>
    </dataValidation>
    <dataValidation type="whole" operator="greaterThanOrEqual" allowBlank="1" showInputMessage="1" showErrorMessage="1" sqref="D10 D7:D30 E7:E30 G8:G20 G7:G30 I7:I30">
      <formula1>0</formula1>
    </dataValidation>
  </dataValidations>
  <hyperlinks>
    <hyperlink ref="D35" r:id="rId1"/>
    <hyperlink ref="B3" location="'Market Garden Budget'!A1" display="return to budget page"/>
  </hyperlinks>
  <pageMargins left="0.7" right="0.7" top="0.75" bottom="0.75" header="0.3" footer="0.3"/>
  <pageSetup scale="33" orientation="landscape" horizontalDpi="300" verticalDpi="300" r:id="rId2"/>
  <ignoredErrors>
    <ignoredError sqref="J7:J3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4"/>
  <sheetViews>
    <sheetView zoomScale="70" zoomScaleNormal="70" workbookViewId="0">
      <selection activeCell="B3" sqref="B3"/>
    </sheetView>
  </sheetViews>
  <sheetFormatPr defaultRowHeight="14.25"/>
  <cols>
    <col min="1" max="1" width="9.140625" style="52"/>
    <col min="2" max="2" width="37" style="66" customWidth="1"/>
    <col min="3" max="4" width="22.85546875" style="72" customWidth="1"/>
    <col min="5" max="9" width="22.85546875" style="52" customWidth="1"/>
    <col min="10" max="10" width="9.140625" style="52"/>
    <col min="11" max="11" width="10.140625" style="52" customWidth="1"/>
    <col min="12" max="13" width="10.140625" style="52" bestFit="1" customWidth="1"/>
    <col min="14" max="15" width="9.140625" style="52"/>
    <col min="16" max="16" width="10.5703125" style="52" customWidth="1"/>
    <col min="17" max="17" width="11.85546875" style="52" customWidth="1"/>
    <col min="18" max="16384" width="9.140625" style="52"/>
  </cols>
  <sheetData>
    <row r="1" spans="2:14" ht="12" customHeight="1"/>
    <row r="2" spans="2:14" ht="25.5" customHeight="1">
      <c r="B2" s="386" t="s">
        <v>569</v>
      </c>
    </row>
    <row r="3" spans="2:14" ht="18" customHeight="1">
      <c r="B3" s="407" t="s">
        <v>552</v>
      </c>
    </row>
    <row r="4" spans="2:14" ht="18" customHeight="1">
      <c r="B4" s="52"/>
      <c r="C4" s="386"/>
      <c r="D4" s="386"/>
      <c r="E4" s="386"/>
      <c r="F4" s="386"/>
      <c r="G4" s="386"/>
      <c r="H4" s="386"/>
    </row>
    <row r="5" spans="2:14" ht="21.75" customHeight="1" thickBot="1">
      <c r="B5" s="387" t="s">
        <v>557</v>
      </c>
      <c r="C5" s="388"/>
      <c r="D5" s="388"/>
      <c r="E5" s="388"/>
      <c r="F5" s="388"/>
      <c r="G5" s="388"/>
      <c r="H5" s="388"/>
    </row>
    <row r="6" spans="2:14" ht="96.75" customHeight="1" thickBot="1">
      <c r="B6" s="402" t="s">
        <v>152</v>
      </c>
      <c r="C6" s="397" t="s">
        <v>405</v>
      </c>
      <c r="D6" s="398" t="s">
        <v>356</v>
      </c>
      <c r="E6" s="399" t="s">
        <v>310</v>
      </c>
      <c r="F6" s="400" t="s">
        <v>355</v>
      </c>
      <c r="G6" s="230" t="s">
        <v>407</v>
      </c>
      <c r="H6" s="498" t="s">
        <v>402</v>
      </c>
      <c r="I6" s="400" t="s">
        <v>406</v>
      </c>
      <c r="J6" s="56"/>
      <c r="K6" s="56"/>
      <c r="L6" s="56"/>
      <c r="M6" s="56"/>
      <c r="N6" s="56"/>
    </row>
    <row r="7" spans="2:14" ht="18">
      <c r="B7" s="389" t="s">
        <v>334</v>
      </c>
      <c r="C7" s="499">
        <f>45*0.8</f>
        <v>36</v>
      </c>
      <c r="D7" s="500">
        <f>'Direct Seeded Cost Sheet'!J7</f>
        <v>1</v>
      </c>
      <c r="E7" s="501">
        <f>'Sales Price Sheet'!D8</f>
        <v>1</v>
      </c>
      <c r="F7" s="501">
        <f>C7*D7*E7</f>
        <v>36</v>
      </c>
      <c r="G7" s="502"/>
      <c r="H7" s="503">
        <f t="shared" ref="H7:H41" si="0">F7*G7</f>
        <v>0</v>
      </c>
      <c r="I7" s="503">
        <f>IF(G7=0,0,((F7*G7)-('Market Garden Budget'!$F$84/(SUM('EARLY SEASON CROPS 1'!$G$7:$G$41)+SUM('MID SEASON CROPS 2'!$G$7:$G$41)+SUM('LATE SEASON CROPS 3'!$G$2:$G$37)))))</f>
        <v>0</v>
      </c>
    </row>
    <row r="8" spans="2:14" ht="18">
      <c r="B8" s="389" t="s">
        <v>333</v>
      </c>
      <c r="C8" s="499">
        <f>80*0.8</f>
        <v>64</v>
      </c>
      <c r="D8" s="500">
        <f>'Direct Seeded Cost Sheet'!J8</f>
        <v>1</v>
      </c>
      <c r="E8" s="501">
        <f>'Sales Price Sheet'!D9</f>
        <v>1</v>
      </c>
      <c r="F8" s="501">
        <f t="shared" ref="F8:F41" si="1">C8*D8*E8</f>
        <v>64</v>
      </c>
      <c r="G8" s="502"/>
      <c r="H8" s="503">
        <f t="shared" si="0"/>
        <v>0</v>
      </c>
      <c r="I8" s="503">
        <f>IF(G8=0,0,((F8*G8)-('Market Garden Budget'!$F$84/(SUM('EARLY SEASON CROPS 1'!$G$7:$G$41)+SUM('MID SEASON CROPS 2'!$G$7:$G$41)+SUM('LATE SEASON CROPS 3'!$G$2:$G$37)))))</f>
        <v>0</v>
      </c>
    </row>
    <row r="9" spans="2:14" ht="18">
      <c r="B9" s="389" t="s">
        <v>147</v>
      </c>
      <c r="C9" s="499">
        <f>100*0.8</f>
        <v>80</v>
      </c>
      <c r="D9" s="500">
        <f>'Direct Seeded Cost Sheet'!J9</f>
        <v>3</v>
      </c>
      <c r="E9" s="501">
        <f>'Sales Price Sheet'!D10</f>
        <v>1.5</v>
      </c>
      <c r="F9" s="501">
        <f t="shared" si="1"/>
        <v>360</v>
      </c>
      <c r="G9" s="502"/>
      <c r="H9" s="503">
        <f t="shared" si="0"/>
        <v>0</v>
      </c>
      <c r="I9" s="503">
        <f>IF(G9=0,0,((F9*G9)-('Market Garden Budget'!$F$84/(SUM('EARLY SEASON CROPS 1'!$G$7:$G$41)+SUM('MID SEASON CROPS 2'!$G$7:$G$41)+SUM('LATE SEASON CROPS 3'!$G$2:$G$37)))))</f>
        <v>0</v>
      </c>
    </row>
    <row r="10" spans="2:14" ht="18">
      <c r="B10" s="389" t="s">
        <v>151</v>
      </c>
      <c r="C10" s="499">
        <f>50*0.8</f>
        <v>40</v>
      </c>
      <c r="D10" s="500">
        <f>'Direct Seeded Cost Sheet'!J10</f>
        <v>2</v>
      </c>
      <c r="E10" s="501">
        <f>'Sales Price Sheet'!D11</f>
        <v>2</v>
      </c>
      <c r="F10" s="501">
        <f t="shared" si="1"/>
        <v>160</v>
      </c>
      <c r="G10" s="502">
        <v>2</v>
      </c>
      <c r="H10" s="503">
        <f>F10*G10</f>
        <v>320</v>
      </c>
      <c r="I10" s="503">
        <f>IF(G10=0,0,((F10*G10)-('Market Garden Budget'!$F$84/(SUM('EARLY SEASON CROPS 1'!$G$7:$G$41)+SUM('MID SEASON CROPS 2'!$G$7:$G$41)+SUM('LATE SEASON CROPS 3'!$G$2:$G$37)))))</f>
        <v>48.04475556892146</v>
      </c>
    </row>
    <row r="11" spans="2:14" ht="18">
      <c r="B11" s="389" t="s">
        <v>153</v>
      </c>
      <c r="C11" s="499">
        <f>75*0.8</f>
        <v>60</v>
      </c>
      <c r="D11" s="500">
        <f>'Direct Seeded Cost Sheet'!J11</f>
        <v>1</v>
      </c>
      <c r="E11" s="501">
        <f>'Sales Price Sheet'!D12</f>
        <v>4</v>
      </c>
      <c r="F11" s="501">
        <f t="shared" si="1"/>
        <v>240</v>
      </c>
      <c r="G11" s="502"/>
      <c r="H11" s="503">
        <f t="shared" si="0"/>
        <v>0</v>
      </c>
      <c r="I11" s="503">
        <f>IF(G11=0,0,((F11*G11)-('Market Garden Budget'!$F$84/(SUM('EARLY SEASON CROPS 1'!$G$7:$G$41)+SUM('MID SEASON CROPS 2'!$G$7:$G$41)+SUM('LATE SEASON CROPS 3'!$G$2:$G$37)))))</f>
        <v>0</v>
      </c>
    </row>
    <row r="12" spans="2:14" ht="18">
      <c r="B12" s="389" t="s">
        <v>154</v>
      </c>
      <c r="C12" s="499">
        <f>200*0.8</f>
        <v>160</v>
      </c>
      <c r="D12" s="500">
        <f>'Direct Seeded Cost Sheet'!J12</f>
        <v>2</v>
      </c>
      <c r="E12" s="501">
        <f>'Sales Price Sheet'!D13</f>
        <v>1</v>
      </c>
      <c r="F12" s="501">
        <f t="shared" si="1"/>
        <v>320</v>
      </c>
      <c r="G12" s="502"/>
      <c r="H12" s="503">
        <f t="shared" si="0"/>
        <v>0</v>
      </c>
      <c r="I12" s="503">
        <f>IF(G12=0,0,((F12*G12)-('Market Garden Budget'!$F$84/(SUM('EARLY SEASON CROPS 1'!$G$7:$G$41)+SUM('MID SEASON CROPS 2'!$G$7:$G$41)+SUM('LATE SEASON CROPS 3'!$G$2:$G$37)))))</f>
        <v>0</v>
      </c>
    </row>
    <row r="13" spans="2:14" ht="18">
      <c r="B13" s="390" t="s">
        <v>311</v>
      </c>
      <c r="C13" s="499">
        <f>80*0.8</f>
        <v>64</v>
      </c>
      <c r="D13" s="500">
        <f>'Direct Seeded Cost Sheet'!J13</f>
        <v>2</v>
      </c>
      <c r="E13" s="501">
        <f>'Sales Price Sheet'!D14</f>
        <v>2</v>
      </c>
      <c r="F13" s="501">
        <f t="shared" si="1"/>
        <v>256</v>
      </c>
      <c r="G13" s="502">
        <v>2</v>
      </c>
      <c r="H13" s="503">
        <f t="shared" si="0"/>
        <v>512</v>
      </c>
      <c r="I13" s="503">
        <f>IF(G13=0,0,((F13*G13)-('Market Garden Budget'!$F$84/(SUM('EARLY SEASON CROPS 1'!$G$7:$G$41)+SUM('MID SEASON CROPS 2'!$G$7:$G$41)+SUM('LATE SEASON CROPS 3'!$G$2:$G$37)))))</f>
        <v>240.04475556892146</v>
      </c>
      <c r="J13" s="52" t="s">
        <v>555</v>
      </c>
      <c r="L13" s="58"/>
    </row>
    <row r="14" spans="2:14" ht="18">
      <c r="B14" s="389" t="s">
        <v>155</v>
      </c>
      <c r="C14" s="499">
        <f>100*0.8</f>
        <v>80</v>
      </c>
      <c r="D14" s="500">
        <f>'Direct Seeded Cost Sheet'!J14</f>
        <v>2</v>
      </c>
      <c r="E14" s="501">
        <f>'Sales Price Sheet'!D15</f>
        <v>1</v>
      </c>
      <c r="F14" s="501">
        <f t="shared" si="1"/>
        <v>160</v>
      </c>
      <c r="G14" s="502">
        <v>3</v>
      </c>
      <c r="H14" s="503">
        <f t="shared" si="0"/>
        <v>480</v>
      </c>
      <c r="I14" s="503">
        <f>IF(G14=0,0,((F14*G14)-('Market Garden Budget'!$F$84/(SUM('EARLY SEASON CROPS 1'!$G$7:$G$41)+SUM('MID SEASON CROPS 2'!$G$7:$G$41)+SUM('LATE SEASON CROPS 3'!$G$2:$G$37)))))</f>
        <v>208.04475556892146</v>
      </c>
    </row>
    <row r="15" spans="2:14" ht="18">
      <c r="B15" s="389" t="s">
        <v>156</v>
      </c>
      <c r="C15" s="499">
        <f>75*0.8</f>
        <v>60</v>
      </c>
      <c r="D15" s="500">
        <f>'Direct Seeded Cost Sheet'!J15</f>
        <v>1</v>
      </c>
      <c r="E15" s="501">
        <f>'Sales Price Sheet'!D16</f>
        <v>2</v>
      </c>
      <c r="F15" s="501">
        <f t="shared" si="1"/>
        <v>120</v>
      </c>
      <c r="G15" s="502"/>
      <c r="H15" s="503">
        <f t="shared" si="0"/>
        <v>0</v>
      </c>
      <c r="I15" s="503">
        <f>IF(G15=0,0,((F15*G15)-('Market Garden Budget'!$F$84/(SUM('EARLY SEASON CROPS 1'!$G$7:$G$41)+SUM('MID SEASON CROPS 2'!$G$7:$G$41)+SUM('LATE SEASON CROPS 3'!$G$2:$G$37)))))</f>
        <v>0</v>
      </c>
    </row>
    <row r="16" spans="2:14" ht="18">
      <c r="B16" s="391" t="s">
        <v>362</v>
      </c>
      <c r="C16" s="499">
        <f>175*0.8</f>
        <v>140</v>
      </c>
      <c r="D16" s="500">
        <f>'Direct Seeded Cost Sheet'!J16</f>
        <v>2</v>
      </c>
      <c r="E16" s="501">
        <f>'Sales Price Sheet'!D17</f>
        <v>1.5</v>
      </c>
      <c r="F16" s="501">
        <f t="shared" si="1"/>
        <v>420</v>
      </c>
      <c r="G16" s="502">
        <v>2</v>
      </c>
      <c r="H16" s="503">
        <f t="shared" si="0"/>
        <v>840</v>
      </c>
      <c r="I16" s="503">
        <f>IF(G16=0,0,((F16*G16)-('Market Garden Budget'!$F$84/(SUM('EARLY SEASON CROPS 1'!$G$7:$G$41)+SUM('MID SEASON CROPS 2'!$G$7:$G$41)+SUM('LATE SEASON CROPS 3'!$G$2:$G$37)))))</f>
        <v>568.04475556892146</v>
      </c>
    </row>
    <row r="17" spans="2:13" ht="18">
      <c r="B17" s="392" t="s">
        <v>161</v>
      </c>
      <c r="C17" s="499">
        <f>180*0.8</f>
        <v>144</v>
      </c>
      <c r="D17" s="500">
        <f>'Transplant Seed Cost Sheet'!I7</f>
        <v>1</v>
      </c>
      <c r="E17" s="501">
        <f>'Sales Price Sheet'!D18</f>
        <v>2</v>
      </c>
      <c r="F17" s="501">
        <f t="shared" si="1"/>
        <v>288</v>
      </c>
      <c r="G17" s="502"/>
      <c r="H17" s="503">
        <f t="shared" si="0"/>
        <v>0</v>
      </c>
      <c r="I17" s="503">
        <f>IF(G17=0,0,((F17*G17)-('Market Garden Budget'!$F$84/(SUM('EARLY SEASON CROPS 1'!$G$7:$G$41)+SUM('MID SEASON CROPS 2'!$G$7:$G$41)+SUM('LATE SEASON CROPS 3'!$G$2:$G$37)))))</f>
        <v>0</v>
      </c>
      <c r="M17" s="58"/>
    </row>
    <row r="18" spans="2:13" ht="18">
      <c r="B18" s="389" t="s">
        <v>157</v>
      </c>
      <c r="C18" s="499">
        <f>120*0.8</f>
        <v>96</v>
      </c>
      <c r="D18" s="500">
        <f>'Transplant Seed Cost Sheet'!I8</f>
        <v>2</v>
      </c>
      <c r="E18" s="501">
        <f>'Sales Price Sheet'!D19</f>
        <v>1.5</v>
      </c>
      <c r="F18" s="501">
        <f t="shared" si="1"/>
        <v>288</v>
      </c>
      <c r="G18" s="502"/>
      <c r="H18" s="503">
        <f t="shared" si="0"/>
        <v>0</v>
      </c>
      <c r="I18" s="503">
        <f>IF(G18=0,0,((F18*G18)-('Market Garden Budget'!$F$84/(SUM('EARLY SEASON CROPS 1'!$G$7:$G$41)+SUM('MID SEASON CROPS 2'!$G$7:$G$41)+SUM('LATE SEASON CROPS 3'!$G$2:$G$37)))))</f>
        <v>0</v>
      </c>
    </row>
    <row r="19" spans="2:13" ht="18">
      <c r="B19" s="389" t="s">
        <v>312</v>
      </c>
      <c r="C19" s="499">
        <f>46*0.8</f>
        <v>36.800000000000004</v>
      </c>
      <c r="D19" s="500">
        <f>'Direct Seeded Cost Sheet'!J17</f>
        <v>3</v>
      </c>
      <c r="E19" s="501">
        <f>'Sales Price Sheet'!D20</f>
        <v>0</v>
      </c>
      <c r="F19" s="501">
        <f t="shared" si="1"/>
        <v>0</v>
      </c>
      <c r="G19" s="502"/>
      <c r="H19" s="503">
        <f t="shared" si="0"/>
        <v>0</v>
      </c>
      <c r="I19" s="503">
        <f>IF(G19=0,0,((F19*G19)-('Market Garden Budget'!$F$84/(SUM('EARLY SEASON CROPS 1'!$G$7:$G$41)+SUM('MID SEASON CROPS 2'!$G$7:$G$41)+SUM('LATE SEASON CROPS 3'!$G$2:$G$37)))))</f>
        <v>0</v>
      </c>
    </row>
    <row r="20" spans="2:13" ht="18">
      <c r="B20" s="389" t="s">
        <v>158</v>
      </c>
      <c r="C20" s="499">
        <f>100*0.8</f>
        <v>80</v>
      </c>
      <c r="D20" s="500">
        <f>'Direct Seeded Cost Sheet'!J18</f>
        <v>3</v>
      </c>
      <c r="E20" s="501">
        <f>'Sales Price Sheet'!D21</f>
        <v>1.5</v>
      </c>
      <c r="F20" s="501">
        <f t="shared" si="1"/>
        <v>360</v>
      </c>
      <c r="G20" s="502">
        <v>2</v>
      </c>
      <c r="H20" s="503">
        <f t="shared" si="0"/>
        <v>720</v>
      </c>
      <c r="I20" s="503">
        <f>IF(G20=0,0,((F20*G20)-('Market Garden Budget'!$F$84/(SUM('EARLY SEASON CROPS 1'!$G$7:$G$41)+SUM('MID SEASON CROPS 2'!$G$7:$G$41)+SUM('LATE SEASON CROPS 3'!$G$2:$G$37)))))</f>
        <v>448.04475556892146</v>
      </c>
      <c r="J20" s="52" t="s">
        <v>556</v>
      </c>
    </row>
    <row r="21" spans="2:13" ht="18">
      <c r="B21" s="389" t="s">
        <v>159</v>
      </c>
      <c r="C21" s="499">
        <f>120*0.8</f>
        <v>96</v>
      </c>
      <c r="D21" s="500">
        <f>'Direct Seeded Cost Sheet'!J19</f>
        <v>1</v>
      </c>
      <c r="E21" s="501">
        <f>'Sales Price Sheet'!D22</f>
        <v>3</v>
      </c>
      <c r="F21" s="501">
        <f t="shared" si="1"/>
        <v>288</v>
      </c>
      <c r="G21" s="502">
        <v>2</v>
      </c>
      <c r="H21" s="503">
        <f t="shared" si="0"/>
        <v>576</v>
      </c>
      <c r="I21" s="503">
        <f>IF(G21=0,0,((F21*G21)-('Market Garden Budget'!$F$84/(SUM('EARLY SEASON CROPS 1'!$G$7:$G$41)+SUM('MID SEASON CROPS 2'!$G$7:$G$41)+SUM('LATE SEASON CROPS 3'!$G$2:$G$37)))))</f>
        <v>304.04475556892146</v>
      </c>
    </row>
    <row r="22" spans="2:13" ht="18">
      <c r="B22" s="389" t="s">
        <v>160</v>
      </c>
      <c r="C22" s="499">
        <f>120*0.8</f>
        <v>96</v>
      </c>
      <c r="D22" s="500">
        <f>'Transplant Seed Cost Sheet'!I16</f>
        <v>1</v>
      </c>
      <c r="E22" s="501">
        <f>'Sales Price Sheet'!D23</f>
        <v>2.5</v>
      </c>
      <c r="F22" s="501">
        <f t="shared" si="1"/>
        <v>240</v>
      </c>
      <c r="G22" s="502"/>
      <c r="H22" s="503">
        <f t="shared" si="0"/>
        <v>0</v>
      </c>
      <c r="I22" s="503">
        <f>IF(G22=0,0,((F22*G22)-('Market Garden Budget'!$F$84/(SUM('EARLY SEASON CROPS 1'!$G$7:$G$41)+SUM('MID SEASON CROPS 2'!$G$7:$G$41)+SUM('LATE SEASON CROPS 3'!$G$2:$G$37)))))</f>
        <v>0</v>
      </c>
      <c r="J22" s="52" t="s">
        <v>554</v>
      </c>
    </row>
    <row r="23" spans="2:13" ht="18">
      <c r="B23" s="389" t="s">
        <v>181</v>
      </c>
      <c r="C23" s="499">
        <v>31</v>
      </c>
      <c r="D23" s="500">
        <f>'Transplant Seed Cost Sheet'!I9</f>
        <v>1</v>
      </c>
      <c r="E23" s="501">
        <f>'Sales Price Sheet'!D24</f>
        <v>2.5</v>
      </c>
      <c r="F23" s="501">
        <f t="shared" si="1"/>
        <v>77.5</v>
      </c>
      <c r="G23" s="502"/>
      <c r="H23" s="503">
        <f t="shared" si="0"/>
        <v>0</v>
      </c>
      <c r="I23" s="503">
        <f>IF(G23=0,0,((F23*G23)-('Market Garden Budget'!$F$84/(SUM('EARLY SEASON CROPS 1'!$G$7:$G$41)+SUM('MID SEASON CROPS 2'!$G$7:$G$41)+SUM('LATE SEASON CROPS 3'!$G$2:$G$37)))))</f>
        <v>0</v>
      </c>
    </row>
    <row r="24" spans="2:13" ht="18">
      <c r="B24" s="389" t="s">
        <v>227</v>
      </c>
      <c r="C24" s="499">
        <f>150*0.8</f>
        <v>120</v>
      </c>
      <c r="D24" s="500">
        <f>'Direct Seeded Cost Sheet'!J20</f>
        <v>3</v>
      </c>
      <c r="E24" s="501">
        <f>'Sales Price Sheet'!D25</f>
        <v>1.29</v>
      </c>
      <c r="F24" s="501">
        <f t="shared" si="1"/>
        <v>464.40000000000003</v>
      </c>
      <c r="G24" s="502">
        <v>2</v>
      </c>
      <c r="H24" s="503">
        <f t="shared" si="0"/>
        <v>928.80000000000007</v>
      </c>
      <c r="I24" s="503">
        <f>IF(G24=0,0,((F24*G24)-('Market Garden Budget'!$F$84/(SUM('EARLY SEASON CROPS 1'!$G$7:$G$41)+SUM('MID SEASON CROPS 2'!$G$7:$G$41)+SUM('LATE SEASON CROPS 3'!$G$2:$G$37)))))</f>
        <v>656.84475556892153</v>
      </c>
    </row>
    <row r="25" spans="2:13" ht="18">
      <c r="B25" s="389" t="s">
        <v>180</v>
      </c>
      <c r="C25" s="499">
        <v>30</v>
      </c>
      <c r="D25" s="500">
        <f>'Direct Seeded Cost Sheet'!J21</f>
        <v>3</v>
      </c>
      <c r="E25" s="501">
        <f>'Sales Price Sheet'!D26</f>
        <v>4</v>
      </c>
      <c r="F25" s="501">
        <f t="shared" si="1"/>
        <v>360</v>
      </c>
      <c r="G25" s="502"/>
      <c r="H25" s="503">
        <f t="shared" si="0"/>
        <v>0</v>
      </c>
      <c r="I25" s="503">
        <f>IF(G25=0,0,((F25*G25)-('Market Garden Budget'!$F$84/(SUM('EARLY SEASON CROPS 1'!$G$7:$G$41)+SUM('MID SEASON CROPS 2'!$G$7:$G$41)+SUM('LATE SEASON CROPS 3'!$G$2:$G$37)))))</f>
        <v>0</v>
      </c>
    </row>
    <row r="26" spans="2:13" ht="18">
      <c r="B26" s="389" t="s">
        <v>205</v>
      </c>
      <c r="C26" s="499">
        <f>100*0.8</f>
        <v>80</v>
      </c>
      <c r="D26" s="500">
        <f>'Direct Seeded Cost Sheet'!J22</f>
        <v>2</v>
      </c>
      <c r="E26" s="501">
        <f>'Sales Price Sheet'!D27</f>
        <v>1</v>
      </c>
      <c r="F26" s="501">
        <f t="shared" si="1"/>
        <v>160</v>
      </c>
      <c r="G26" s="502"/>
      <c r="H26" s="503">
        <f t="shared" si="0"/>
        <v>0</v>
      </c>
      <c r="I26" s="503">
        <f>IF(G26=0,0,((F26*G26)-('Market Garden Budget'!$F$84/(SUM('EARLY SEASON CROPS 1'!$G$7:$G$41)+SUM('MID SEASON CROPS 2'!$G$7:$G$41)+SUM('LATE SEASON CROPS 3'!$G$2:$G$37)))))</f>
        <v>0</v>
      </c>
    </row>
    <row r="27" spans="2:13" ht="18">
      <c r="B27" s="389" t="s">
        <v>313</v>
      </c>
      <c r="C27" s="499">
        <v>40</v>
      </c>
      <c r="D27" s="500">
        <f>'Direct Seeded Cost Sheet'!J23</f>
        <v>2</v>
      </c>
      <c r="E27" s="501">
        <f>'Sales Price Sheet'!D28</f>
        <v>2</v>
      </c>
      <c r="F27" s="501">
        <f t="shared" si="1"/>
        <v>160</v>
      </c>
      <c r="G27" s="502"/>
      <c r="H27" s="503">
        <f t="shared" si="0"/>
        <v>0</v>
      </c>
      <c r="I27" s="503">
        <f>IF(G27=0,0,((F27*G27)-('Market Garden Budget'!$F$84/(SUM('EARLY SEASON CROPS 1'!$G$7:$G$41)+SUM('MID SEASON CROPS 2'!$G$7:$G$41)+SUM('LATE SEASON CROPS 3'!$G$2:$G$37)))))</f>
        <v>0</v>
      </c>
    </row>
    <row r="28" spans="2:13" ht="18">
      <c r="B28" s="392" t="s">
        <v>210</v>
      </c>
      <c r="C28" s="499">
        <v>20</v>
      </c>
      <c r="D28" s="500">
        <f>'Direct Seeded Cost Sheet'!J24</f>
        <v>1</v>
      </c>
      <c r="E28" s="501">
        <f>'Sales Price Sheet'!D29</f>
        <v>2</v>
      </c>
      <c r="F28" s="501">
        <f t="shared" si="1"/>
        <v>40</v>
      </c>
      <c r="G28" s="502"/>
      <c r="H28" s="503">
        <f t="shared" si="0"/>
        <v>0</v>
      </c>
      <c r="I28" s="503">
        <f>IF(G28=0,0,((F28*G28)-('Market Garden Budget'!$F$84/(SUM('EARLY SEASON CROPS 1'!$G$7:$G$41)+SUM('MID SEASON CROPS 2'!$G$7:$G$41)+SUM('LATE SEASON CROPS 3'!$G$2:$G$37)))))</f>
        <v>0</v>
      </c>
    </row>
    <row r="29" spans="2:13" ht="18">
      <c r="B29" s="392" t="s">
        <v>217</v>
      </c>
      <c r="C29" s="499">
        <f>100*0.8</f>
        <v>80</v>
      </c>
      <c r="D29" s="500">
        <f>'Transplant Seed Cost Sheet'!I11</f>
        <v>2</v>
      </c>
      <c r="E29" s="501">
        <f>'Sales Price Sheet'!D30</f>
        <v>2.5</v>
      </c>
      <c r="F29" s="501">
        <f t="shared" si="1"/>
        <v>400</v>
      </c>
      <c r="G29" s="502"/>
      <c r="H29" s="503">
        <f t="shared" si="0"/>
        <v>0</v>
      </c>
      <c r="I29" s="503">
        <f>IF(G29=0,0,((F29*G29)-('Market Garden Budget'!$F$84/(SUM('EARLY SEASON CROPS 1'!$G$7:$G$41)+SUM('MID SEASON CROPS 2'!$G$7:$G$41)+SUM('LATE SEASON CROPS 3'!$G$2:$G$37)))))</f>
        <v>0</v>
      </c>
    </row>
    <row r="30" spans="2:13" ht="18">
      <c r="B30" s="389" t="s">
        <v>218</v>
      </c>
      <c r="C30" s="499">
        <f>100*0.8</f>
        <v>80</v>
      </c>
      <c r="D30" s="500">
        <f>'Transplant Seed Cost Sheet'!I12</f>
        <v>2</v>
      </c>
      <c r="E30" s="501">
        <f>'Sales Price Sheet'!D31</f>
        <v>1.5</v>
      </c>
      <c r="F30" s="501">
        <f t="shared" si="1"/>
        <v>240</v>
      </c>
      <c r="G30" s="502"/>
      <c r="H30" s="503">
        <f t="shared" si="0"/>
        <v>0</v>
      </c>
      <c r="I30" s="503">
        <f>IF(G30=0,0,((F30*G30)-('Market Garden Budget'!$F$84/(SUM('EARLY SEASON CROPS 1'!$G$7:$G$41)+SUM('MID SEASON CROPS 2'!$G$7:$G$41)+SUM('LATE SEASON CROPS 3'!$G$2:$G$37)))))</f>
        <v>0</v>
      </c>
    </row>
    <row r="31" spans="2:13" ht="18">
      <c r="B31" s="392" t="s">
        <v>419</v>
      </c>
      <c r="C31" s="499">
        <v>80</v>
      </c>
      <c r="D31" s="500">
        <f>'Direct Seeded Cost Sheet'!J25</f>
        <v>1</v>
      </c>
      <c r="E31" s="501">
        <f>'Sales Price Sheet'!D32</f>
        <v>1</v>
      </c>
      <c r="F31" s="501">
        <f t="shared" si="1"/>
        <v>80</v>
      </c>
      <c r="G31" s="502"/>
      <c r="H31" s="503">
        <f t="shared" si="0"/>
        <v>0</v>
      </c>
      <c r="I31" s="503">
        <f>IF(G31=0,0,((F31*G31)-('Market Garden Budget'!$F$84/(SUM('EARLY SEASON CROPS 1'!$G$7:$G$41)+SUM('MID SEASON CROPS 2'!$G$7:$G$41)+SUM('LATE SEASON CROPS 3'!$G$2:$G$37)))))</f>
        <v>0</v>
      </c>
    </row>
    <row r="32" spans="2:13" ht="18">
      <c r="B32" s="389" t="s">
        <v>418</v>
      </c>
      <c r="C32" s="499">
        <v>120</v>
      </c>
      <c r="D32" s="500">
        <f>'Direct Seeded Cost Sheet'!J26</f>
        <v>1</v>
      </c>
      <c r="E32" s="501">
        <f>'Sales Price Sheet'!D33</f>
        <v>1</v>
      </c>
      <c r="F32" s="501">
        <f t="shared" si="1"/>
        <v>120</v>
      </c>
      <c r="G32" s="502"/>
      <c r="H32" s="503">
        <f t="shared" si="0"/>
        <v>0</v>
      </c>
      <c r="I32" s="503">
        <f>IF(G32=0,0,((F32*G32)-('Market Garden Budget'!$F$84/(SUM('EARLY SEASON CROPS 1'!$G$7:$G$41)+SUM('MID SEASON CROPS 2'!$G$7:$G$41)+SUM('LATE SEASON CROPS 3'!$G$2:$G$37)))))</f>
        <v>0</v>
      </c>
    </row>
    <row r="33" spans="2:10" ht="18">
      <c r="B33" s="389" t="s">
        <v>219</v>
      </c>
      <c r="C33" s="499">
        <v>120</v>
      </c>
      <c r="D33" s="500">
        <f>'Transplant Seed Cost Sheet'!I13</f>
        <v>2</v>
      </c>
      <c r="E33" s="501">
        <f>'Sales Price Sheet'!D34</f>
        <v>1.25</v>
      </c>
      <c r="F33" s="501">
        <f t="shared" si="1"/>
        <v>300</v>
      </c>
      <c r="G33" s="502"/>
      <c r="H33" s="503">
        <f t="shared" si="0"/>
        <v>0</v>
      </c>
      <c r="I33" s="503">
        <f>IF(G33=0,0,((F33*G33)-('Market Garden Budget'!$F$84/(SUM('EARLY SEASON CROPS 1'!$G$7:$G$41)+SUM('MID SEASON CROPS 2'!$G$7:$G$41)+SUM('LATE SEASON CROPS 3'!$G$2:$G$37)))))</f>
        <v>0</v>
      </c>
    </row>
    <row r="34" spans="2:10" ht="18">
      <c r="B34" s="389" t="s">
        <v>220</v>
      </c>
      <c r="C34" s="499">
        <f>75*0.8</f>
        <v>60</v>
      </c>
      <c r="D34" s="500">
        <v>1</v>
      </c>
      <c r="E34" s="501">
        <f>'Sales Price Sheet'!D35</f>
        <v>1.2</v>
      </c>
      <c r="F34" s="501">
        <f t="shared" si="1"/>
        <v>72</v>
      </c>
      <c r="G34" s="502"/>
      <c r="H34" s="503">
        <f t="shared" si="0"/>
        <v>0</v>
      </c>
      <c r="I34" s="503">
        <f>IF(G34=0,0,((F34*G34)-('Market Garden Budget'!$F$84/(SUM('EARLY SEASON CROPS 1'!$G$7:$G$41)+SUM('MID SEASON CROPS 2'!$G$7:$G$41)+SUM('LATE SEASON CROPS 3'!$G$2:$G$37)))))</f>
        <v>0</v>
      </c>
      <c r="J34" s="52" t="s">
        <v>553</v>
      </c>
    </row>
    <row r="35" spans="2:10" ht="18">
      <c r="B35" s="389" t="s">
        <v>306</v>
      </c>
      <c r="C35" s="499">
        <v>30</v>
      </c>
      <c r="D35" s="500">
        <f>'Direct Seeded Cost Sheet'!J28</f>
        <v>3</v>
      </c>
      <c r="E35" s="501">
        <f>'Sales Price Sheet'!D36</f>
        <v>2</v>
      </c>
      <c r="F35" s="501">
        <f t="shared" si="1"/>
        <v>180</v>
      </c>
      <c r="G35" s="502">
        <v>2</v>
      </c>
      <c r="H35" s="503">
        <f t="shared" si="0"/>
        <v>360</v>
      </c>
      <c r="I35" s="503">
        <f>IF(G35=0,0,((F35*G35)-('Market Garden Budget'!$F$84/(SUM('EARLY SEASON CROPS 1'!$G$7:$G$41)+SUM('MID SEASON CROPS 2'!$G$7:$G$41)+SUM('LATE SEASON CROPS 3'!$G$2:$G$37)))))</f>
        <v>88.04475556892146</v>
      </c>
    </row>
    <row r="36" spans="2:10" ht="18">
      <c r="B36" s="389" t="s">
        <v>221</v>
      </c>
      <c r="C36" s="499">
        <v>120</v>
      </c>
      <c r="D36" s="500">
        <f>'Transplant Seed Cost Sheet'!I13</f>
        <v>2</v>
      </c>
      <c r="E36" s="501">
        <f>'Sales Price Sheet'!D37</f>
        <v>1.5</v>
      </c>
      <c r="F36" s="501">
        <f t="shared" si="1"/>
        <v>360</v>
      </c>
      <c r="G36" s="502"/>
      <c r="H36" s="503">
        <f t="shared" si="0"/>
        <v>0</v>
      </c>
      <c r="I36" s="503">
        <f>IF(G36=0,0,((F36*G36)-('Market Garden Budget'!$F$84/(SUM('EARLY SEASON CROPS 1'!$G$7:$G$41)+SUM('MID SEASON CROPS 2'!$G$7:$G$41)+SUM('LATE SEASON CROPS 3'!$G$2:$G$37)))))</f>
        <v>0</v>
      </c>
    </row>
    <row r="37" spans="2:10" ht="18">
      <c r="B37" s="389" t="s">
        <v>222</v>
      </c>
      <c r="C37" s="499">
        <v>180</v>
      </c>
      <c r="D37" s="500">
        <f>'Transplant Seed Cost Sheet'!I14</f>
        <v>1.5</v>
      </c>
      <c r="E37" s="501">
        <f>'Sales Price Sheet'!D38</f>
        <v>1</v>
      </c>
      <c r="F37" s="501">
        <f t="shared" si="1"/>
        <v>270</v>
      </c>
      <c r="G37" s="502"/>
      <c r="H37" s="503">
        <f t="shared" si="0"/>
        <v>0</v>
      </c>
      <c r="I37" s="503">
        <f>IF(G37=0,0,((F37*G37)-('Market Garden Budget'!$F$84/(SUM('EARLY SEASON CROPS 1'!$G$7:$G$41)+SUM('MID SEASON CROPS 2'!$G$7:$G$41)+SUM('LATE SEASON CROPS 3'!$G$2:$G$37)))))</f>
        <v>0</v>
      </c>
    </row>
    <row r="38" spans="2:10" ht="18">
      <c r="B38" s="389" t="s">
        <v>223</v>
      </c>
      <c r="C38" s="499">
        <v>200</v>
      </c>
      <c r="D38" s="500">
        <f>'Transplant Seed Cost Sheet'!I15</f>
        <v>1.5</v>
      </c>
      <c r="E38" s="501">
        <f>'Sales Price Sheet'!D39</f>
        <v>2.5</v>
      </c>
      <c r="F38" s="501">
        <f t="shared" si="1"/>
        <v>750</v>
      </c>
      <c r="G38" s="502"/>
      <c r="H38" s="503">
        <f t="shared" si="0"/>
        <v>0</v>
      </c>
      <c r="I38" s="503">
        <f>IF(G38=0,0,((F38*G38)-('Market Garden Budget'!$F$84/(SUM('EARLY SEASON CROPS 1'!$G$7:$G$41)+SUM('MID SEASON CROPS 2'!$G$7:$G$41)+SUM('LATE SEASON CROPS 3'!$G$2:$G$37)))))</f>
        <v>0</v>
      </c>
    </row>
    <row r="39" spans="2:10" ht="18">
      <c r="B39" s="389" t="s">
        <v>224</v>
      </c>
      <c r="C39" s="499">
        <v>75</v>
      </c>
      <c r="D39" s="500">
        <f>'Direct Seeded Cost Sheet'!J29</f>
        <v>3</v>
      </c>
      <c r="E39" s="501">
        <f>'Sales Price Sheet'!D40</f>
        <v>1</v>
      </c>
      <c r="F39" s="501">
        <f t="shared" si="1"/>
        <v>225</v>
      </c>
      <c r="G39" s="502"/>
      <c r="H39" s="503">
        <f t="shared" si="0"/>
        <v>0</v>
      </c>
      <c r="I39" s="503">
        <f>IF(G39=0,0,((F39*G39)-('Market Garden Budget'!$F$84/(SUM('EARLY SEASON CROPS 1'!$G$7:$G$41)+SUM('MID SEASON CROPS 2'!$G$7:$G$41)+SUM('LATE SEASON CROPS 3'!$G$2:$G$37)))))</f>
        <v>0</v>
      </c>
    </row>
    <row r="40" spans="2:10" ht="18">
      <c r="B40" s="389" t="s">
        <v>225</v>
      </c>
      <c r="C40" s="499">
        <v>40</v>
      </c>
      <c r="D40" s="500">
        <f>'Direct Seeded Cost Sheet'!J30</f>
        <v>3</v>
      </c>
      <c r="E40" s="501">
        <f>'Sales Price Sheet'!D41</f>
        <v>1</v>
      </c>
      <c r="F40" s="501">
        <f t="shared" si="1"/>
        <v>120</v>
      </c>
      <c r="G40" s="502"/>
      <c r="H40" s="503">
        <f t="shared" si="0"/>
        <v>0</v>
      </c>
      <c r="I40" s="503">
        <f>IF(G40=0,0,((F40*G40)-('Market Garden Budget'!$F$84/(SUM('EARLY SEASON CROPS 1'!$G$7:$G$41)+SUM('MID SEASON CROPS 2'!$G$7:$G$41)+SUM('LATE SEASON CROPS 3'!$G$2:$G$37)))))</f>
        <v>0</v>
      </c>
    </row>
    <row r="41" spans="2:10" ht="18.75" thickBot="1">
      <c r="B41" s="393" t="s">
        <v>226</v>
      </c>
      <c r="C41" s="504">
        <v>50</v>
      </c>
      <c r="D41" s="505">
        <f>'Transplant Seed Cost Sheet'!I17</f>
        <v>1</v>
      </c>
      <c r="E41" s="506">
        <f>'Sales Price Sheet'!D42</f>
        <v>5</v>
      </c>
      <c r="F41" s="507">
        <f t="shared" si="1"/>
        <v>250</v>
      </c>
      <c r="G41" s="508"/>
      <c r="H41" s="509">
        <f t="shared" si="0"/>
        <v>0</v>
      </c>
      <c r="I41" s="509">
        <f>IF(G41=0,0,((F41*G41)-('Market Garden Budget'!$F$84/(SUM('EARLY SEASON CROPS 1'!$G$7:$G$41)+SUM('MID SEASON CROPS 2'!$G$7:$G$41)+SUM('LATE SEASON CROPS 3'!$G$2:$G$37)))))</f>
        <v>0</v>
      </c>
      <c r="J41" s="52" t="s">
        <v>554</v>
      </c>
    </row>
    <row r="42" spans="2:10" ht="21" thickTop="1">
      <c r="C42" s="60"/>
      <c r="D42" s="60"/>
      <c r="E42" s="51"/>
      <c r="F42" s="513" t="s">
        <v>255</v>
      </c>
      <c r="G42" s="514">
        <f>SUM(G7:G41)</f>
        <v>17</v>
      </c>
      <c r="H42" s="513">
        <f>SUM(H7:H41)</f>
        <v>4736.8</v>
      </c>
      <c r="I42" s="515">
        <f>SUM(I7:I41)</f>
        <v>2561.1580445513719</v>
      </c>
    </row>
    <row r="43" spans="2:10" ht="15">
      <c r="C43" s="60"/>
      <c r="D43" s="60"/>
      <c r="E43" s="51"/>
      <c r="F43" s="51"/>
      <c r="G43" s="61"/>
      <c r="H43" s="51"/>
      <c r="I43" s="62"/>
    </row>
    <row r="44" spans="2:10" s="94" customFormat="1" ht="12.75">
      <c r="B44" s="235" t="s">
        <v>445</v>
      </c>
      <c r="C44" s="93"/>
      <c r="D44" s="93"/>
    </row>
    <row r="45" spans="2:10" s="94" customFormat="1" ht="12.75">
      <c r="B45" s="236" t="s">
        <v>309</v>
      </c>
      <c r="C45" s="95"/>
      <c r="D45" s="95"/>
      <c r="E45" s="96"/>
      <c r="F45" s="96"/>
      <c r="G45" s="96"/>
      <c r="H45" s="97"/>
    </row>
    <row r="46" spans="2:10" s="94" customFormat="1" ht="12.75">
      <c r="B46" s="237" t="s">
        <v>332</v>
      </c>
      <c r="C46" s="98"/>
      <c r="D46" s="98"/>
      <c r="E46" s="98"/>
      <c r="F46" s="99"/>
      <c r="G46" s="98"/>
      <c r="H46" s="99"/>
    </row>
    <row r="47" spans="2:10" ht="15">
      <c r="D47" s="67"/>
      <c r="E47" s="67"/>
      <c r="F47" s="68"/>
      <c r="G47" s="67"/>
      <c r="H47" s="68"/>
    </row>
    <row r="48" spans="2:10" ht="15">
      <c r="B48" s="69" t="s">
        <v>192</v>
      </c>
      <c r="C48" s="63"/>
      <c r="D48" s="67"/>
      <c r="E48" s="67"/>
      <c r="F48" s="68"/>
      <c r="G48" s="67"/>
      <c r="H48" s="68"/>
    </row>
    <row r="49" spans="2:8" ht="15.75">
      <c r="B49" s="57" t="s">
        <v>195</v>
      </c>
      <c r="C49" s="70" t="s">
        <v>194</v>
      </c>
      <c r="D49" s="67"/>
      <c r="E49" s="67"/>
      <c r="F49" s="68"/>
      <c r="G49" s="67"/>
      <c r="H49" s="68"/>
    </row>
    <row r="50" spans="2:8" ht="15.75">
      <c r="B50" s="57" t="s">
        <v>307</v>
      </c>
      <c r="C50" s="70" t="s">
        <v>206</v>
      </c>
      <c r="D50" s="67"/>
      <c r="E50" s="67"/>
      <c r="G50" s="67"/>
    </row>
    <row r="51" spans="2:8" ht="15.75">
      <c r="B51" s="57" t="s">
        <v>352</v>
      </c>
      <c r="C51" s="70" t="s">
        <v>349</v>
      </c>
      <c r="D51" s="67"/>
      <c r="E51" s="67"/>
      <c r="F51" s="68"/>
      <c r="G51" s="67"/>
      <c r="H51" s="68"/>
    </row>
    <row r="52" spans="2:8" ht="15.75">
      <c r="B52" s="57" t="s">
        <v>351</v>
      </c>
      <c r="C52" s="70" t="s">
        <v>350</v>
      </c>
      <c r="D52" s="67"/>
      <c r="E52" s="67"/>
      <c r="G52" s="67"/>
    </row>
    <row r="53" spans="2:8" ht="15">
      <c r="B53" s="66" t="s">
        <v>393</v>
      </c>
      <c r="C53" s="71" t="s">
        <v>353</v>
      </c>
      <c r="D53" s="67"/>
      <c r="E53" s="67"/>
      <c r="G53" s="67"/>
    </row>
    <row r="54" spans="2:8" ht="15">
      <c r="D54" s="67"/>
      <c r="E54" s="67"/>
      <c r="G54" s="67"/>
    </row>
    <row r="55" spans="2:8" ht="15.75">
      <c r="B55" s="57" t="s">
        <v>308</v>
      </c>
      <c r="C55" s="70" t="s">
        <v>208</v>
      </c>
      <c r="D55" s="67"/>
      <c r="E55" s="67"/>
      <c r="G55" s="67"/>
    </row>
    <row r="56" spans="2:8" ht="15">
      <c r="D56" s="67"/>
      <c r="E56" s="67"/>
      <c r="G56" s="67"/>
    </row>
    <row r="57" spans="2:8" ht="15">
      <c r="D57" s="67"/>
      <c r="E57" s="67"/>
      <c r="G57" s="67"/>
    </row>
    <row r="58" spans="2:8" ht="15">
      <c r="C58" s="70"/>
      <c r="D58" s="67"/>
      <c r="E58" s="67"/>
      <c r="G58" s="67"/>
    </row>
    <row r="59" spans="2:8" ht="15">
      <c r="C59" s="70"/>
      <c r="D59" s="67"/>
      <c r="E59" s="67"/>
      <c r="G59" s="67"/>
    </row>
    <row r="60" spans="2:8" ht="15">
      <c r="D60" s="67"/>
      <c r="E60" s="67"/>
      <c r="G60" s="67"/>
    </row>
    <row r="61" spans="2:8" ht="15">
      <c r="C61" s="67"/>
      <c r="D61" s="67"/>
      <c r="E61" s="67"/>
      <c r="G61" s="67"/>
    </row>
    <row r="62" spans="2:8" ht="15">
      <c r="C62" s="67"/>
      <c r="D62" s="67"/>
      <c r="E62" s="67"/>
      <c r="G62" s="67"/>
    </row>
    <row r="63" spans="2:8" ht="15">
      <c r="C63" s="67"/>
      <c r="D63" s="67"/>
      <c r="E63" s="67"/>
      <c r="G63" s="67"/>
    </row>
    <row r="64" spans="2:8" ht="15">
      <c r="C64" s="67"/>
      <c r="D64" s="67"/>
      <c r="E64" s="67"/>
      <c r="G64" s="67"/>
    </row>
  </sheetData>
  <dataValidations count="1">
    <dataValidation type="whole" operator="greaterThanOrEqual" allowBlank="1" showInputMessage="1" showErrorMessage="1" sqref="C7:C41 G7:G41">
      <formula1>0</formula1>
    </dataValidation>
  </dataValidations>
  <hyperlinks>
    <hyperlink ref="C50" r:id="rId1"/>
    <hyperlink ref="C53" r:id="rId2"/>
    <hyperlink ref="C52" r:id="rId3"/>
    <hyperlink ref="C51" r:id="rId4"/>
    <hyperlink ref="B3" location="'Market Garden Budget'!A1" display="return to budget page"/>
  </hyperlinks>
  <pageMargins left="0.7" right="0.7" top="0.75" bottom="0.75" header="0.3" footer="0.3"/>
  <pageSetup scale="39" orientation="portrait"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8"/>
  <sheetViews>
    <sheetView zoomScale="70" zoomScaleNormal="70" workbookViewId="0">
      <selection activeCell="G38" sqref="G38:G41"/>
    </sheetView>
  </sheetViews>
  <sheetFormatPr defaultRowHeight="14.25"/>
  <cols>
    <col min="1" max="1" width="9.140625" style="52"/>
    <col min="2" max="2" width="36.85546875" style="66" customWidth="1"/>
    <col min="3" max="3" width="22.85546875" style="140" customWidth="1"/>
    <col min="4" max="4" width="22.85546875" style="72" customWidth="1"/>
    <col min="5" max="6" width="22.85546875" style="52" customWidth="1"/>
    <col min="7" max="7" width="22.85546875" style="140" customWidth="1"/>
    <col min="8" max="9" width="22.85546875" style="52" customWidth="1"/>
    <col min="10" max="10" width="9.140625" style="52"/>
    <col min="11" max="11" width="11" style="52" customWidth="1"/>
    <col min="12" max="12" width="9.140625" style="52"/>
    <col min="13" max="13" width="10.140625" style="52" bestFit="1" customWidth="1"/>
    <col min="14" max="14" width="2.140625" style="52" customWidth="1"/>
    <col min="15" max="15" width="10.140625" style="52" bestFit="1" customWidth="1"/>
    <col min="16" max="17" width="9.140625" style="52"/>
    <col min="18" max="18" width="10.5703125" style="52" customWidth="1"/>
    <col min="19" max="19" width="11.85546875" style="52" customWidth="1"/>
    <col min="20" max="16384" width="9.140625" style="52"/>
  </cols>
  <sheetData>
    <row r="1" spans="2:16" ht="10.5" customHeight="1"/>
    <row r="2" spans="2:16" ht="24" customHeight="1">
      <c r="B2" s="385" t="s">
        <v>568</v>
      </c>
      <c r="C2" s="385"/>
      <c r="D2" s="385"/>
      <c r="E2" s="385"/>
      <c r="F2" s="385"/>
      <c r="G2" s="385"/>
      <c r="H2" s="385"/>
    </row>
    <row r="3" spans="2:16" ht="18" customHeight="1">
      <c r="B3" s="497" t="s">
        <v>552</v>
      </c>
      <c r="C3" s="385"/>
      <c r="D3" s="385"/>
      <c r="E3" s="385"/>
      <c r="F3" s="385"/>
      <c r="G3" s="385"/>
      <c r="H3" s="385"/>
    </row>
    <row r="4" spans="2:16" ht="18" customHeight="1">
      <c r="B4" s="385"/>
      <c r="C4" s="385"/>
      <c r="D4" s="385"/>
      <c r="E4" s="385"/>
      <c r="F4" s="385"/>
      <c r="G4" s="385"/>
      <c r="H4" s="385"/>
    </row>
    <row r="5" spans="2:16" ht="21" customHeight="1" thickBot="1">
      <c r="B5" s="516" t="s">
        <v>392</v>
      </c>
      <c r="C5" s="516"/>
      <c r="D5" s="516"/>
      <c r="E5" s="516"/>
      <c r="F5" s="516"/>
      <c r="G5" s="516"/>
      <c r="H5" s="516"/>
    </row>
    <row r="6" spans="2:16" ht="92.25" customHeight="1" thickBot="1">
      <c r="B6" s="402" t="s">
        <v>152</v>
      </c>
      <c r="C6" s="397" t="s">
        <v>405</v>
      </c>
      <c r="D6" s="398" t="s">
        <v>356</v>
      </c>
      <c r="E6" s="399" t="s">
        <v>310</v>
      </c>
      <c r="F6" s="400" t="s">
        <v>355</v>
      </c>
      <c r="G6" s="230" t="s">
        <v>407</v>
      </c>
      <c r="H6" s="401" t="s">
        <v>403</v>
      </c>
      <c r="I6" s="400" t="s">
        <v>406</v>
      </c>
      <c r="J6" s="56"/>
      <c r="K6" s="56"/>
      <c r="L6" s="56"/>
      <c r="M6" s="56"/>
      <c r="N6" s="56"/>
      <c r="O6" s="56"/>
      <c r="P6" s="56"/>
    </row>
    <row r="7" spans="2:16" ht="18">
      <c r="B7" s="389" t="s">
        <v>334</v>
      </c>
      <c r="C7" s="517">
        <f>45*0.8</f>
        <v>36</v>
      </c>
      <c r="D7" s="500">
        <f>'Direct Seeded Cost Sheet'!J7</f>
        <v>1</v>
      </c>
      <c r="E7" s="501">
        <f>'Sales Price Sheet'!D8</f>
        <v>1</v>
      </c>
      <c r="F7" s="501">
        <f>C7*D7*E7</f>
        <v>36</v>
      </c>
      <c r="G7" s="518"/>
      <c r="H7" s="503">
        <f t="shared" ref="H7:H41" si="0">F7*G7</f>
        <v>0</v>
      </c>
      <c r="I7" s="503">
        <f>IF(G7=0,0,((F7*G7)-('Market Garden Budget'!$F$84/(SUM('EARLY SEASON CROPS 1'!$G$7:$G$41)+SUM('MID SEASON CROPS 2'!$G$7:$G$41)+SUM('LATE SEASON CROPS 3'!$G$2:$G$37)))))</f>
        <v>0</v>
      </c>
    </row>
    <row r="8" spans="2:16" ht="18">
      <c r="B8" s="389" t="s">
        <v>333</v>
      </c>
      <c r="C8" s="517">
        <f>80*0.8</f>
        <v>64</v>
      </c>
      <c r="D8" s="500">
        <f>'Direct Seeded Cost Sheet'!J8</f>
        <v>1</v>
      </c>
      <c r="E8" s="501">
        <f>'Sales Price Sheet'!D9</f>
        <v>1</v>
      </c>
      <c r="F8" s="501">
        <f t="shared" ref="F8:F41" si="1">C8*D8*E8</f>
        <v>64</v>
      </c>
      <c r="G8" s="518"/>
      <c r="H8" s="503">
        <f t="shared" si="0"/>
        <v>0</v>
      </c>
      <c r="I8" s="503">
        <f>IF(G8=0,0,((F8*G8)-('Market Garden Budget'!$F$84/(SUM('EARLY SEASON CROPS 1'!$G$7:$G$41)+SUM('MID SEASON CROPS 2'!$G$7:$G$41)+SUM('LATE SEASON CROPS 3'!$G$2:$G$37)))))</f>
        <v>0</v>
      </c>
    </row>
    <row r="9" spans="2:16" ht="18">
      <c r="B9" s="389" t="s">
        <v>147</v>
      </c>
      <c r="C9" s="517">
        <f>100*0.8</f>
        <v>80</v>
      </c>
      <c r="D9" s="500">
        <f>'Direct Seeded Cost Sheet'!J9</f>
        <v>3</v>
      </c>
      <c r="E9" s="501">
        <f>'Sales Price Sheet'!D10</f>
        <v>1.5</v>
      </c>
      <c r="F9" s="501">
        <f t="shared" si="1"/>
        <v>360</v>
      </c>
      <c r="G9" s="518"/>
      <c r="H9" s="503">
        <f t="shared" si="0"/>
        <v>0</v>
      </c>
      <c r="I9" s="503">
        <f>IF(G9=0,0,((F9*G9)-('Market Garden Budget'!$F$84/(SUM('EARLY SEASON CROPS 1'!$G$7:$G$41)+SUM('MID SEASON CROPS 2'!$G$7:$G$41)+SUM('LATE SEASON CROPS 3'!$G$2:$G$37)))))</f>
        <v>0</v>
      </c>
    </row>
    <row r="10" spans="2:16" ht="18">
      <c r="B10" s="389" t="s">
        <v>151</v>
      </c>
      <c r="C10" s="517">
        <f>50*0.8</f>
        <v>40</v>
      </c>
      <c r="D10" s="500">
        <f>'Direct Seeded Cost Sheet'!J10</f>
        <v>2</v>
      </c>
      <c r="E10" s="501">
        <f>'Sales Price Sheet'!D11</f>
        <v>2</v>
      </c>
      <c r="F10" s="501">
        <f t="shared" si="1"/>
        <v>160</v>
      </c>
      <c r="G10" s="518">
        <v>4</v>
      </c>
      <c r="H10" s="503">
        <f>F10*G10</f>
        <v>640</v>
      </c>
      <c r="I10" s="503">
        <f>IF(G10=0,0,((F10*G10)-('Market Garden Budget'!$F$84/(SUM('EARLY SEASON CROPS 1'!$G$7:$G$41)+SUM('MID SEASON CROPS 2'!$G$7:$G$41)+SUM('LATE SEASON CROPS 3'!$G$2:$G$37)))))</f>
        <v>368.04475556892146</v>
      </c>
    </row>
    <row r="11" spans="2:16" ht="18">
      <c r="B11" s="389" t="s">
        <v>153</v>
      </c>
      <c r="C11" s="517">
        <f>75*0.8</f>
        <v>60</v>
      </c>
      <c r="D11" s="500">
        <f>'Direct Seeded Cost Sheet'!J11</f>
        <v>1</v>
      </c>
      <c r="E11" s="501">
        <f>'Sales Price Sheet'!D12</f>
        <v>4</v>
      </c>
      <c r="F11" s="501">
        <f t="shared" si="1"/>
        <v>240</v>
      </c>
      <c r="G11" s="518">
        <v>2</v>
      </c>
      <c r="H11" s="503">
        <f t="shared" si="0"/>
        <v>480</v>
      </c>
      <c r="I11" s="503">
        <f>IF(G11=0,0,((F11*G11)-('Market Garden Budget'!$F$84/(SUM('EARLY SEASON CROPS 1'!$G$7:$G$41)+SUM('MID SEASON CROPS 2'!$G$7:$G$41)+SUM('LATE SEASON CROPS 3'!$G$2:$G$37)))))</f>
        <v>208.04475556892146</v>
      </c>
    </row>
    <row r="12" spans="2:16" ht="18">
      <c r="B12" s="389" t="s">
        <v>154</v>
      </c>
      <c r="C12" s="517">
        <f>200*0.8</f>
        <v>160</v>
      </c>
      <c r="D12" s="500">
        <f>'Direct Seeded Cost Sheet'!J12</f>
        <v>2</v>
      </c>
      <c r="E12" s="501">
        <f>'Sales Price Sheet'!D13</f>
        <v>1</v>
      </c>
      <c r="F12" s="501">
        <f t="shared" si="1"/>
        <v>320</v>
      </c>
      <c r="G12" s="518"/>
      <c r="H12" s="503">
        <f t="shared" si="0"/>
        <v>0</v>
      </c>
      <c r="I12" s="503">
        <f>IF(G12=0,0,((F12*G12)-('Market Garden Budget'!$F$84/(SUM('EARLY SEASON CROPS 1'!$G$7:$G$41)+SUM('MID SEASON CROPS 2'!$G$7:$G$41)+SUM('LATE SEASON CROPS 3'!$G$2:$G$37)))))</f>
        <v>0</v>
      </c>
    </row>
    <row r="13" spans="2:16" ht="18">
      <c r="B13" s="390" t="s">
        <v>311</v>
      </c>
      <c r="C13" s="517">
        <f>80*0.8</f>
        <v>64</v>
      </c>
      <c r="D13" s="500">
        <f>'Direct Seeded Cost Sheet'!J13</f>
        <v>2</v>
      </c>
      <c r="E13" s="501">
        <f>'Sales Price Sheet'!D14</f>
        <v>2</v>
      </c>
      <c r="F13" s="501">
        <f t="shared" si="1"/>
        <v>256</v>
      </c>
      <c r="G13" s="518"/>
      <c r="H13" s="503">
        <f t="shared" si="0"/>
        <v>0</v>
      </c>
      <c r="I13" s="503">
        <f>IF(G13=0,0,((F13*G13)-('Market Garden Budget'!$F$84/(SUM('EARLY SEASON CROPS 1'!$G$7:$G$41)+SUM('MID SEASON CROPS 2'!$G$7:$G$41)+SUM('LATE SEASON CROPS 3'!$G$2:$G$37)))))</f>
        <v>0</v>
      </c>
      <c r="J13" s="52" t="s">
        <v>555</v>
      </c>
      <c r="M13" s="58"/>
      <c r="N13" s="58"/>
    </row>
    <row r="14" spans="2:16" ht="18">
      <c r="B14" s="389" t="s">
        <v>155</v>
      </c>
      <c r="C14" s="517">
        <f>100*0.8</f>
        <v>80</v>
      </c>
      <c r="D14" s="500">
        <f>'Direct Seeded Cost Sheet'!J14</f>
        <v>2</v>
      </c>
      <c r="E14" s="501">
        <f>'Sales Price Sheet'!D15</f>
        <v>1</v>
      </c>
      <c r="F14" s="501">
        <f t="shared" si="1"/>
        <v>160</v>
      </c>
      <c r="G14" s="518">
        <v>5</v>
      </c>
      <c r="H14" s="503">
        <f t="shared" si="0"/>
        <v>800</v>
      </c>
      <c r="I14" s="503">
        <f>IF(G14=0,0,((F14*G14)-('Market Garden Budget'!$F$84/(SUM('EARLY SEASON CROPS 1'!$G$7:$G$41)+SUM('MID SEASON CROPS 2'!$G$7:$G$41)+SUM('LATE SEASON CROPS 3'!$G$2:$G$37)))))</f>
        <v>528.04475556892146</v>
      </c>
    </row>
    <row r="15" spans="2:16" ht="18">
      <c r="B15" s="389" t="s">
        <v>156</v>
      </c>
      <c r="C15" s="517">
        <f>75*0.8</f>
        <v>60</v>
      </c>
      <c r="D15" s="500">
        <f>'Direct Seeded Cost Sheet'!J15</f>
        <v>1</v>
      </c>
      <c r="E15" s="501">
        <f>'Sales Price Sheet'!D16</f>
        <v>2</v>
      </c>
      <c r="F15" s="501">
        <f t="shared" si="1"/>
        <v>120</v>
      </c>
      <c r="G15" s="518">
        <v>4</v>
      </c>
      <c r="H15" s="503">
        <f t="shared" si="0"/>
        <v>480</v>
      </c>
      <c r="I15" s="503">
        <f>IF(G15=0,0,((F15*G15)-('Market Garden Budget'!$F$84/(SUM('EARLY SEASON CROPS 1'!$G$7:$G$41)+SUM('MID SEASON CROPS 2'!$G$7:$G$41)+SUM('LATE SEASON CROPS 3'!$G$2:$G$37)))))</f>
        <v>208.04475556892146</v>
      </c>
    </row>
    <row r="16" spans="2:16" ht="18">
      <c r="B16" s="391" t="s">
        <v>362</v>
      </c>
      <c r="C16" s="517">
        <f>175*0.8</f>
        <v>140</v>
      </c>
      <c r="D16" s="500">
        <f>'Direct Seeded Cost Sheet'!J16</f>
        <v>2</v>
      </c>
      <c r="E16" s="501">
        <f>'Sales Price Sheet'!D17</f>
        <v>1.5</v>
      </c>
      <c r="F16" s="501">
        <f t="shared" si="1"/>
        <v>420</v>
      </c>
      <c r="G16" s="518">
        <v>2</v>
      </c>
      <c r="H16" s="503">
        <f t="shared" si="0"/>
        <v>840</v>
      </c>
      <c r="I16" s="503">
        <f>IF(G16=0,0,((F16*G16)-('Market Garden Budget'!$F$84/(SUM('EARLY SEASON CROPS 1'!$G$7:$G$41)+SUM('MID SEASON CROPS 2'!$G$7:$G$41)+SUM('LATE SEASON CROPS 3'!$G$2:$G$37)))))</f>
        <v>568.04475556892146</v>
      </c>
    </row>
    <row r="17" spans="2:15" ht="18">
      <c r="B17" s="392" t="s">
        <v>161</v>
      </c>
      <c r="C17" s="517">
        <f>180*0.8</f>
        <v>144</v>
      </c>
      <c r="D17" s="500">
        <f>'Transplant Seed Cost Sheet'!I7</f>
        <v>1</v>
      </c>
      <c r="E17" s="501">
        <f>'Sales Price Sheet'!D18</f>
        <v>2</v>
      </c>
      <c r="F17" s="501">
        <f t="shared" si="1"/>
        <v>288</v>
      </c>
      <c r="G17" s="518">
        <v>5</v>
      </c>
      <c r="H17" s="503">
        <f t="shared" si="0"/>
        <v>1440</v>
      </c>
      <c r="I17" s="503">
        <f>IF(G17=0,0,((F17*G17)-('Market Garden Budget'!$F$84/(SUM('EARLY SEASON CROPS 1'!$G$7:$G$41)+SUM('MID SEASON CROPS 2'!$G$7:$G$41)+SUM('LATE SEASON CROPS 3'!$G$2:$G$37)))))</f>
        <v>1168.0447555689216</v>
      </c>
      <c r="O17" s="58"/>
    </row>
    <row r="18" spans="2:15" ht="18">
      <c r="B18" s="389" t="s">
        <v>157</v>
      </c>
      <c r="C18" s="517">
        <f>120*0.8</f>
        <v>96</v>
      </c>
      <c r="D18" s="500">
        <f>'Transplant Seed Cost Sheet'!I8</f>
        <v>2</v>
      </c>
      <c r="E18" s="501">
        <f>'Sales Price Sheet'!D19</f>
        <v>1.5</v>
      </c>
      <c r="F18" s="501">
        <f t="shared" si="1"/>
        <v>288</v>
      </c>
      <c r="G18" s="518">
        <v>1</v>
      </c>
      <c r="H18" s="503">
        <f t="shared" si="0"/>
        <v>288</v>
      </c>
      <c r="I18" s="503">
        <f>IF(G18=0,0,((F18*G18)-('Market Garden Budget'!$F$84/(SUM('EARLY SEASON CROPS 1'!$G$7:$G$41)+SUM('MID SEASON CROPS 2'!$G$7:$G$41)+SUM('LATE SEASON CROPS 3'!$G$2:$G$37)))))</f>
        <v>16.04475556892146</v>
      </c>
    </row>
    <row r="19" spans="2:15" ht="18">
      <c r="B19" s="389" t="s">
        <v>312</v>
      </c>
      <c r="C19" s="517">
        <f>46*0.8</f>
        <v>36.800000000000004</v>
      </c>
      <c r="D19" s="500">
        <f>'Direct Seeded Cost Sheet'!J17</f>
        <v>3</v>
      </c>
      <c r="E19" s="501">
        <f>'Sales Price Sheet'!D20</f>
        <v>0</v>
      </c>
      <c r="F19" s="501">
        <f t="shared" si="1"/>
        <v>0</v>
      </c>
      <c r="G19" s="518"/>
      <c r="H19" s="503">
        <f t="shared" si="0"/>
        <v>0</v>
      </c>
      <c r="I19" s="503">
        <f>IF(G19=0,0,((F19*G19)-('Market Garden Budget'!$F$84/(SUM('EARLY SEASON CROPS 1'!$G$7:$G$41)+SUM('MID SEASON CROPS 2'!$G$7:$G$41)+SUM('LATE SEASON CROPS 3'!$G$2:$G$37)))))</f>
        <v>0</v>
      </c>
    </row>
    <row r="20" spans="2:15" ht="18">
      <c r="B20" s="389" t="s">
        <v>158</v>
      </c>
      <c r="C20" s="517">
        <f>100*0.8</f>
        <v>80</v>
      </c>
      <c r="D20" s="500">
        <f>'Direct Seeded Cost Sheet'!J18</f>
        <v>3</v>
      </c>
      <c r="E20" s="501">
        <f>'Sales Price Sheet'!D21</f>
        <v>1.5</v>
      </c>
      <c r="F20" s="501">
        <f t="shared" si="1"/>
        <v>360</v>
      </c>
      <c r="G20" s="518">
        <v>5</v>
      </c>
      <c r="H20" s="503">
        <f t="shared" si="0"/>
        <v>1800</v>
      </c>
      <c r="I20" s="503">
        <f>IF(G20=0,0,((F20*G20)-('Market Garden Budget'!$F$84/(SUM('EARLY SEASON CROPS 1'!$G$7:$G$41)+SUM('MID SEASON CROPS 2'!$G$7:$G$41)+SUM('LATE SEASON CROPS 3'!$G$2:$G$37)))))</f>
        <v>1528.0447555689216</v>
      </c>
      <c r="J20" s="52" t="s">
        <v>556</v>
      </c>
    </row>
    <row r="21" spans="2:15" ht="18">
      <c r="B21" s="389" t="s">
        <v>159</v>
      </c>
      <c r="C21" s="517">
        <f>120*0.8</f>
        <v>96</v>
      </c>
      <c r="D21" s="500">
        <f>'Direct Seeded Cost Sheet'!J19</f>
        <v>1</v>
      </c>
      <c r="E21" s="501">
        <f>'Sales Price Sheet'!D22</f>
        <v>3</v>
      </c>
      <c r="F21" s="501">
        <f t="shared" si="1"/>
        <v>288</v>
      </c>
      <c r="G21" s="518">
        <v>5</v>
      </c>
      <c r="H21" s="503">
        <f t="shared" si="0"/>
        <v>1440</v>
      </c>
      <c r="I21" s="503">
        <f>IF(G21=0,0,((F21*G21)-('Market Garden Budget'!$F$84/(SUM('EARLY SEASON CROPS 1'!$G$7:$G$41)+SUM('MID SEASON CROPS 2'!$G$7:$G$41)+SUM('LATE SEASON CROPS 3'!$G$2:$G$37)))))</f>
        <v>1168.0447555689216</v>
      </c>
    </row>
    <row r="22" spans="2:15" ht="18">
      <c r="B22" s="389" t="s">
        <v>160</v>
      </c>
      <c r="C22" s="517">
        <f>120*0.8</f>
        <v>96</v>
      </c>
      <c r="D22" s="500">
        <f>'Transplant Seed Cost Sheet'!I16</f>
        <v>1</v>
      </c>
      <c r="E22" s="501">
        <f>'Sales Price Sheet'!D23</f>
        <v>2.5</v>
      </c>
      <c r="F22" s="501">
        <f t="shared" si="1"/>
        <v>240</v>
      </c>
      <c r="G22" s="518">
        <v>2</v>
      </c>
      <c r="H22" s="503">
        <f t="shared" si="0"/>
        <v>480</v>
      </c>
      <c r="I22" s="503">
        <f>IF(G22=0,0,((F22*G22)-('Market Garden Budget'!$F$84/(SUM('EARLY SEASON CROPS 1'!$G$7:$G$41)+SUM('MID SEASON CROPS 2'!$G$7:$G$41)+SUM('LATE SEASON CROPS 3'!$G$2:$G$37)))))</f>
        <v>208.04475556892146</v>
      </c>
      <c r="J22" s="52" t="s">
        <v>554</v>
      </c>
    </row>
    <row r="23" spans="2:15" ht="18">
      <c r="B23" s="389" t="s">
        <v>181</v>
      </c>
      <c r="C23" s="517">
        <v>31</v>
      </c>
      <c r="D23" s="500">
        <f>'Transplant Seed Cost Sheet'!I9</f>
        <v>1</v>
      </c>
      <c r="E23" s="501">
        <f>'Sales Price Sheet'!D24</f>
        <v>2.5</v>
      </c>
      <c r="F23" s="501">
        <f t="shared" si="1"/>
        <v>77.5</v>
      </c>
      <c r="G23" s="518">
        <v>5</v>
      </c>
      <c r="H23" s="503">
        <f t="shared" si="0"/>
        <v>387.5</v>
      </c>
      <c r="I23" s="503">
        <f>IF(G23=0,0,((F23*G23)-('Market Garden Budget'!$F$84/(SUM('EARLY SEASON CROPS 1'!$G$7:$G$41)+SUM('MID SEASON CROPS 2'!$G$7:$G$41)+SUM('LATE SEASON CROPS 3'!$G$2:$G$37)))))</f>
        <v>115.54475556892146</v>
      </c>
    </row>
    <row r="24" spans="2:15" ht="18">
      <c r="B24" s="389" t="s">
        <v>227</v>
      </c>
      <c r="C24" s="517">
        <f>150*0.8</f>
        <v>120</v>
      </c>
      <c r="D24" s="500">
        <f>'Direct Seeded Cost Sheet'!J20</f>
        <v>3</v>
      </c>
      <c r="E24" s="501">
        <f>'Sales Price Sheet'!D25</f>
        <v>1.29</v>
      </c>
      <c r="F24" s="501">
        <f t="shared" si="1"/>
        <v>464.40000000000003</v>
      </c>
      <c r="G24" s="518">
        <v>1</v>
      </c>
      <c r="H24" s="503">
        <f t="shared" si="0"/>
        <v>464.40000000000003</v>
      </c>
      <c r="I24" s="503">
        <f>IF(G24=0,0,((F24*G24)-('Market Garden Budget'!$F$84/(SUM('EARLY SEASON CROPS 1'!$G$7:$G$41)+SUM('MID SEASON CROPS 2'!$G$7:$G$41)+SUM('LATE SEASON CROPS 3'!$G$2:$G$37)))))</f>
        <v>192.44475556892149</v>
      </c>
    </row>
    <row r="25" spans="2:15" ht="18">
      <c r="B25" s="389" t="s">
        <v>180</v>
      </c>
      <c r="C25" s="517">
        <v>30</v>
      </c>
      <c r="D25" s="500">
        <f>'Direct Seeded Cost Sheet'!J21</f>
        <v>3</v>
      </c>
      <c r="E25" s="501">
        <f>'Sales Price Sheet'!D26</f>
        <v>4</v>
      </c>
      <c r="F25" s="501">
        <f t="shared" si="1"/>
        <v>360</v>
      </c>
      <c r="G25" s="518">
        <v>2</v>
      </c>
      <c r="H25" s="503">
        <f t="shared" si="0"/>
        <v>720</v>
      </c>
      <c r="I25" s="503">
        <f>IF(G25=0,0,((F25*G25)-('Market Garden Budget'!$F$84/(SUM('EARLY SEASON CROPS 1'!$G$7:$G$41)+SUM('MID SEASON CROPS 2'!$G$7:$G$41)+SUM('LATE SEASON CROPS 3'!$G$2:$G$37)))))</f>
        <v>448.04475556892146</v>
      </c>
    </row>
    <row r="26" spans="2:15" ht="18">
      <c r="B26" s="389" t="s">
        <v>205</v>
      </c>
      <c r="C26" s="517">
        <f>100*0.8</f>
        <v>80</v>
      </c>
      <c r="D26" s="500">
        <f>'Direct Seeded Cost Sheet'!J22</f>
        <v>2</v>
      </c>
      <c r="E26" s="501">
        <f>'Sales Price Sheet'!D27</f>
        <v>1</v>
      </c>
      <c r="F26" s="501">
        <f t="shared" si="1"/>
        <v>160</v>
      </c>
      <c r="G26" s="518">
        <v>2</v>
      </c>
      <c r="H26" s="503">
        <f t="shared" si="0"/>
        <v>320</v>
      </c>
      <c r="I26" s="503">
        <f>IF(G26=0,0,((F26*G26)-('Market Garden Budget'!$F$84/(SUM('EARLY SEASON CROPS 1'!$G$7:$G$41)+SUM('MID SEASON CROPS 2'!$G$7:$G$41)+SUM('LATE SEASON CROPS 3'!$G$2:$G$37)))))</f>
        <v>48.04475556892146</v>
      </c>
    </row>
    <row r="27" spans="2:15" ht="18">
      <c r="B27" s="389" t="s">
        <v>313</v>
      </c>
      <c r="C27" s="517">
        <v>40</v>
      </c>
      <c r="D27" s="500">
        <f>'Direct Seeded Cost Sheet'!J23</f>
        <v>2</v>
      </c>
      <c r="E27" s="501">
        <f>'Sales Price Sheet'!D28</f>
        <v>2</v>
      </c>
      <c r="F27" s="501">
        <f t="shared" si="1"/>
        <v>160</v>
      </c>
      <c r="G27" s="518">
        <v>2</v>
      </c>
      <c r="H27" s="503">
        <f t="shared" si="0"/>
        <v>320</v>
      </c>
      <c r="I27" s="503">
        <f>IF(G27=0,0,((F27*G27)-('Market Garden Budget'!$F$84/(SUM('EARLY SEASON CROPS 1'!$G$7:$G$41)+SUM('MID SEASON CROPS 2'!$G$7:$G$41)+SUM('LATE SEASON CROPS 3'!$G$2:$G$37)))))</f>
        <v>48.04475556892146</v>
      </c>
    </row>
    <row r="28" spans="2:15" ht="18">
      <c r="B28" s="392" t="s">
        <v>210</v>
      </c>
      <c r="C28" s="517">
        <v>20</v>
      </c>
      <c r="D28" s="500">
        <f>'Direct Seeded Cost Sheet'!J24</f>
        <v>1</v>
      </c>
      <c r="E28" s="501">
        <f>'Sales Price Sheet'!D29</f>
        <v>2</v>
      </c>
      <c r="F28" s="501">
        <f t="shared" si="1"/>
        <v>40</v>
      </c>
      <c r="G28" s="518"/>
      <c r="H28" s="503">
        <f t="shared" si="0"/>
        <v>0</v>
      </c>
      <c r="I28" s="503">
        <f>IF(G28=0,0,((F28*G28)-('Market Garden Budget'!$F$84/(SUM('EARLY SEASON CROPS 1'!$G$7:$G$41)+SUM('MID SEASON CROPS 2'!$G$7:$G$41)+SUM('LATE SEASON CROPS 3'!$G$2:$G$37)))))</f>
        <v>0</v>
      </c>
    </row>
    <row r="29" spans="2:15" ht="18">
      <c r="B29" s="392" t="s">
        <v>217</v>
      </c>
      <c r="C29" s="517">
        <f>100*0.8</f>
        <v>80</v>
      </c>
      <c r="D29" s="500">
        <f>'Transplant Seed Cost Sheet'!I11</f>
        <v>2</v>
      </c>
      <c r="E29" s="501">
        <f>'Sales Price Sheet'!D30</f>
        <v>2.5</v>
      </c>
      <c r="F29" s="501">
        <f t="shared" si="1"/>
        <v>400</v>
      </c>
      <c r="G29" s="518">
        <v>5</v>
      </c>
      <c r="H29" s="503">
        <f t="shared" si="0"/>
        <v>2000</v>
      </c>
      <c r="I29" s="503">
        <f>IF(G29=0,0,((F29*G29)-('Market Garden Budget'!$F$84/(SUM('EARLY SEASON CROPS 1'!$G$7:$G$41)+SUM('MID SEASON CROPS 2'!$G$7:$G$41)+SUM('LATE SEASON CROPS 3'!$G$2:$G$37)))))</f>
        <v>1728.0447555689216</v>
      </c>
    </row>
    <row r="30" spans="2:15" ht="18">
      <c r="B30" s="389" t="s">
        <v>218</v>
      </c>
      <c r="C30" s="517">
        <f>100*0.8</f>
        <v>80</v>
      </c>
      <c r="D30" s="500">
        <f>'Transplant Seed Cost Sheet'!I12</f>
        <v>2</v>
      </c>
      <c r="E30" s="501">
        <f>'Sales Price Sheet'!D31</f>
        <v>1.5</v>
      </c>
      <c r="F30" s="501">
        <f t="shared" si="1"/>
        <v>240</v>
      </c>
      <c r="G30" s="518"/>
      <c r="H30" s="503">
        <f t="shared" si="0"/>
        <v>0</v>
      </c>
      <c r="I30" s="503">
        <f>IF(G30=0,0,((F30*G30)-('Market Garden Budget'!$F$84/(SUM('EARLY SEASON CROPS 1'!$G$7:$G$41)+SUM('MID SEASON CROPS 2'!$G$7:$G$41)+SUM('LATE SEASON CROPS 3'!$G$2:$G$37)))))</f>
        <v>0</v>
      </c>
    </row>
    <row r="31" spans="2:15" ht="18">
      <c r="B31" s="392" t="s">
        <v>419</v>
      </c>
      <c r="C31" s="517">
        <v>80</v>
      </c>
      <c r="D31" s="500">
        <f>'Direct Seeded Cost Sheet'!J25</f>
        <v>1</v>
      </c>
      <c r="E31" s="501">
        <f>'Sales Price Sheet'!D32</f>
        <v>1</v>
      </c>
      <c r="F31" s="501">
        <f t="shared" si="1"/>
        <v>80</v>
      </c>
      <c r="G31" s="518"/>
      <c r="H31" s="503">
        <f t="shared" si="0"/>
        <v>0</v>
      </c>
      <c r="I31" s="503">
        <f>IF(G31=0,0,((F31*G31)-('Market Garden Budget'!$F$84/(SUM('EARLY SEASON CROPS 1'!$G$7:$G$41)+SUM('MID SEASON CROPS 2'!$G$7:$G$41)+SUM('LATE SEASON CROPS 3'!$G$2:$G$37)))))</f>
        <v>0</v>
      </c>
    </row>
    <row r="32" spans="2:15" ht="18">
      <c r="B32" s="389" t="s">
        <v>418</v>
      </c>
      <c r="C32" s="517">
        <v>120</v>
      </c>
      <c r="D32" s="500">
        <f>'Direct Seeded Cost Sheet'!J26</f>
        <v>1</v>
      </c>
      <c r="E32" s="501">
        <f>'Sales Price Sheet'!D33</f>
        <v>1</v>
      </c>
      <c r="F32" s="501">
        <f t="shared" si="1"/>
        <v>120</v>
      </c>
      <c r="G32" s="518"/>
      <c r="H32" s="503">
        <f t="shared" si="0"/>
        <v>0</v>
      </c>
      <c r="I32" s="503">
        <f>IF(G32=0,0,((F32*G32)-('Market Garden Budget'!$F$84/(SUM('EARLY SEASON CROPS 1'!$G$7:$G$41)+SUM('MID SEASON CROPS 2'!$G$7:$G$41)+SUM('LATE SEASON CROPS 3'!$G$2:$G$37)))))</f>
        <v>0</v>
      </c>
    </row>
    <row r="33" spans="2:10" ht="18">
      <c r="B33" s="389" t="s">
        <v>219</v>
      </c>
      <c r="C33" s="517">
        <v>120</v>
      </c>
      <c r="D33" s="500">
        <f>'Transplant Seed Cost Sheet'!I13</f>
        <v>2</v>
      </c>
      <c r="E33" s="501">
        <f>'Sales Price Sheet'!D34</f>
        <v>1.25</v>
      </c>
      <c r="F33" s="501">
        <f t="shared" si="1"/>
        <v>300</v>
      </c>
      <c r="G33" s="518"/>
      <c r="H33" s="503">
        <f t="shared" si="0"/>
        <v>0</v>
      </c>
      <c r="I33" s="503">
        <f>IF(G33=0,0,((F33*G33)-('Market Garden Budget'!$F$84/(SUM('EARLY SEASON CROPS 1'!$G$7:$G$41)+SUM('MID SEASON CROPS 2'!$G$7:$G$41)+SUM('LATE SEASON CROPS 3'!$G$2:$G$37)))))</f>
        <v>0</v>
      </c>
    </row>
    <row r="34" spans="2:10" ht="18">
      <c r="B34" s="389" t="s">
        <v>220</v>
      </c>
      <c r="C34" s="517">
        <f>75*0.8</f>
        <v>60</v>
      </c>
      <c r="D34" s="500">
        <v>1</v>
      </c>
      <c r="E34" s="501">
        <f>'Sales Price Sheet'!D35</f>
        <v>1.2</v>
      </c>
      <c r="F34" s="501">
        <f t="shared" si="1"/>
        <v>72</v>
      </c>
      <c r="G34" s="518"/>
      <c r="H34" s="503">
        <f t="shared" si="0"/>
        <v>0</v>
      </c>
      <c r="I34" s="503">
        <f>IF(G34=0,0,((F34*G34)-('Market Garden Budget'!$F$84/(SUM('EARLY SEASON CROPS 1'!$G$7:$G$41)+SUM('MID SEASON CROPS 2'!$G$7:$G$41)+SUM('LATE SEASON CROPS 3'!$G$2:$G$37)))))</f>
        <v>0</v>
      </c>
      <c r="J34" s="52" t="s">
        <v>553</v>
      </c>
    </row>
    <row r="35" spans="2:10" ht="18">
      <c r="B35" s="389" t="s">
        <v>306</v>
      </c>
      <c r="C35" s="517">
        <v>30</v>
      </c>
      <c r="D35" s="500">
        <f>'Direct Seeded Cost Sheet'!J28</f>
        <v>3</v>
      </c>
      <c r="E35" s="501">
        <f>'Sales Price Sheet'!D36</f>
        <v>2</v>
      </c>
      <c r="F35" s="501">
        <f t="shared" si="1"/>
        <v>180</v>
      </c>
      <c r="G35" s="518">
        <v>2</v>
      </c>
      <c r="H35" s="503">
        <f t="shared" si="0"/>
        <v>360</v>
      </c>
      <c r="I35" s="503">
        <f>IF(G35=0,0,((F35*G35)-('Market Garden Budget'!$F$84/(SUM('EARLY SEASON CROPS 1'!$G$7:$G$41)+SUM('MID SEASON CROPS 2'!$G$7:$G$41)+SUM('LATE SEASON CROPS 3'!$G$2:$G$37)))))</f>
        <v>88.04475556892146</v>
      </c>
    </row>
    <row r="36" spans="2:10" ht="18">
      <c r="B36" s="389" t="s">
        <v>221</v>
      </c>
      <c r="C36" s="517">
        <v>120</v>
      </c>
      <c r="D36" s="500">
        <f>'Transplant Seed Cost Sheet'!I13</f>
        <v>2</v>
      </c>
      <c r="E36" s="501">
        <f>'Sales Price Sheet'!D37</f>
        <v>1.5</v>
      </c>
      <c r="F36" s="501">
        <f t="shared" si="1"/>
        <v>360</v>
      </c>
      <c r="G36" s="518">
        <v>2</v>
      </c>
      <c r="H36" s="503">
        <f t="shared" si="0"/>
        <v>720</v>
      </c>
      <c r="I36" s="503">
        <f>IF(G36=0,0,((F36*G36)-('Market Garden Budget'!$F$84/(SUM('EARLY SEASON CROPS 1'!$G$7:$G$41)+SUM('MID SEASON CROPS 2'!$G$7:$G$41)+SUM('LATE SEASON CROPS 3'!$G$2:$G$37)))))</f>
        <v>448.04475556892146</v>
      </c>
    </row>
    <row r="37" spans="2:10" ht="18">
      <c r="B37" s="389" t="s">
        <v>222</v>
      </c>
      <c r="C37" s="517">
        <v>180</v>
      </c>
      <c r="D37" s="500">
        <f>'Transplant Seed Cost Sheet'!I14</f>
        <v>1.5</v>
      </c>
      <c r="E37" s="501">
        <f>'Sales Price Sheet'!D38</f>
        <v>1</v>
      </c>
      <c r="F37" s="501">
        <f t="shared" si="1"/>
        <v>270</v>
      </c>
      <c r="G37" s="518"/>
      <c r="H37" s="503">
        <f t="shared" si="0"/>
        <v>0</v>
      </c>
      <c r="I37" s="503">
        <f>IF(G37=0,0,((F37*G37)-('Market Garden Budget'!$F$84/(SUM('EARLY SEASON CROPS 1'!$G$7:$G$41)+SUM('MID SEASON CROPS 2'!$G$7:$G$41)+SUM('LATE SEASON CROPS 3'!$G$2:$G$37)))))</f>
        <v>0</v>
      </c>
    </row>
    <row r="38" spans="2:10" ht="18">
      <c r="B38" s="389" t="s">
        <v>223</v>
      </c>
      <c r="C38" s="517">
        <v>200</v>
      </c>
      <c r="D38" s="500">
        <f>'Transplant Seed Cost Sheet'!I15</f>
        <v>1.5</v>
      </c>
      <c r="E38" s="501">
        <f>'Sales Price Sheet'!D39</f>
        <v>2.5</v>
      </c>
      <c r="F38" s="501">
        <f t="shared" si="1"/>
        <v>750</v>
      </c>
      <c r="G38" s="518">
        <v>5</v>
      </c>
      <c r="H38" s="503">
        <f t="shared" si="0"/>
        <v>3750</v>
      </c>
      <c r="I38" s="503">
        <f>IF(G38=0,0,((F38*G38)-('Market Garden Budget'!$F$84/(SUM('EARLY SEASON CROPS 1'!$G$7:$G$41)+SUM('MID SEASON CROPS 2'!$G$7:$G$41)+SUM('LATE SEASON CROPS 3'!$G$2:$G$37)))))</f>
        <v>3478.0447555689216</v>
      </c>
    </row>
    <row r="39" spans="2:10" ht="18">
      <c r="B39" s="389" t="s">
        <v>224</v>
      </c>
      <c r="C39" s="517">
        <v>75</v>
      </c>
      <c r="D39" s="500">
        <f>'Direct Seeded Cost Sheet'!J29</f>
        <v>3</v>
      </c>
      <c r="E39" s="501">
        <f>'Sales Price Sheet'!D40</f>
        <v>1</v>
      </c>
      <c r="F39" s="501">
        <f t="shared" si="1"/>
        <v>225</v>
      </c>
      <c r="G39" s="518"/>
      <c r="H39" s="503">
        <f t="shared" si="0"/>
        <v>0</v>
      </c>
      <c r="I39" s="503">
        <f>IF(G39=0,0,((F39*G39)-('Market Garden Budget'!$F$84/(SUM('EARLY SEASON CROPS 1'!$G$7:$G$41)+SUM('MID SEASON CROPS 2'!$G$7:$G$41)+SUM('LATE SEASON CROPS 3'!$G$2:$G$37)))))</f>
        <v>0</v>
      </c>
    </row>
    <row r="40" spans="2:10" ht="18">
      <c r="B40" s="389" t="s">
        <v>225</v>
      </c>
      <c r="C40" s="517">
        <v>40</v>
      </c>
      <c r="D40" s="500">
        <f>'Direct Seeded Cost Sheet'!J30</f>
        <v>3</v>
      </c>
      <c r="E40" s="501">
        <f>'Sales Price Sheet'!D41</f>
        <v>1</v>
      </c>
      <c r="F40" s="501">
        <f t="shared" si="1"/>
        <v>120</v>
      </c>
      <c r="G40" s="518"/>
      <c r="H40" s="503">
        <f t="shared" si="0"/>
        <v>0</v>
      </c>
      <c r="I40" s="503">
        <f>IF(G40=0,0,((F40*G40)-('Market Garden Budget'!$F$84/(SUM('EARLY SEASON CROPS 1'!$G$7:$G$41)+SUM('MID SEASON CROPS 2'!$G$7:$G$41)+SUM('LATE SEASON CROPS 3'!$G$2:$G$37)))))</f>
        <v>0</v>
      </c>
    </row>
    <row r="41" spans="2:10" ht="18.75" thickBot="1">
      <c r="B41" s="393" t="s">
        <v>226</v>
      </c>
      <c r="C41" s="519">
        <v>50</v>
      </c>
      <c r="D41" s="505">
        <f>'Transplant Seed Cost Sheet'!I17</f>
        <v>1</v>
      </c>
      <c r="E41" s="506">
        <f>'Sales Price Sheet'!D42</f>
        <v>5</v>
      </c>
      <c r="F41" s="506">
        <f t="shared" si="1"/>
        <v>250</v>
      </c>
      <c r="G41" s="520">
        <v>2</v>
      </c>
      <c r="H41" s="509">
        <f t="shared" si="0"/>
        <v>500</v>
      </c>
      <c r="I41" s="509">
        <f>IF(G41=0,0,((F41*G41)-('Market Garden Budget'!$F$84/(SUM('EARLY SEASON CROPS 1'!$G$7:$G$41)+SUM('MID SEASON CROPS 2'!$G$7:$G$41)+SUM('LATE SEASON CROPS 3'!$G$2:$G$37)))))</f>
        <v>228.04475556892146</v>
      </c>
      <c r="J41" s="52" t="s">
        <v>554</v>
      </c>
    </row>
    <row r="42" spans="2:10" ht="21" thickTop="1">
      <c r="C42" s="225"/>
      <c r="D42" s="60"/>
      <c r="E42" s="51"/>
      <c r="F42" s="513" t="s">
        <v>255</v>
      </c>
      <c r="G42" s="521">
        <f>SUM(G7:G41)</f>
        <v>63</v>
      </c>
      <c r="H42" s="513">
        <f>SUM(H7:H41)</f>
        <v>18229.900000000001</v>
      </c>
      <c r="I42" s="515">
        <f>SUM(I7:I41)</f>
        <v>12790.795111378429</v>
      </c>
    </row>
    <row r="43" spans="2:10" ht="15">
      <c r="B43" s="394" t="s">
        <v>445</v>
      </c>
    </row>
    <row r="44" spans="2:10" ht="15.75">
      <c r="B44" s="395" t="s">
        <v>309</v>
      </c>
      <c r="C44" s="404"/>
      <c r="D44" s="63"/>
      <c r="E44" s="64"/>
      <c r="F44" s="64"/>
      <c r="G44" s="403"/>
      <c r="H44" s="65"/>
    </row>
    <row r="45" spans="2:10" ht="15.75">
      <c r="B45" s="396" t="s">
        <v>332</v>
      </c>
      <c r="C45" s="90"/>
      <c r="D45" s="67"/>
      <c r="E45" s="67"/>
      <c r="F45" s="68"/>
      <c r="G45" s="90"/>
      <c r="H45" s="68"/>
    </row>
    <row r="46" spans="2:10" ht="15">
      <c r="B46" s="45"/>
      <c r="C46" s="90"/>
      <c r="D46" s="67"/>
      <c r="E46" s="67"/>
      <c r="F46" s="68"/>
      <c r="G46" s="90"/>
      <c r="H46" s="68"/>
    </row>
    <row r="47" spans="2:10" ht="15">
      <c r="B47" s="69" t="s">
        <v>192</v>
      </c>
      <c r="C47" s="404"/>
      <c r="D47" s="67"/>
      <c r="E47" s="67"/>
      <c r="F47" s="68"/>
      <c r="G47" s="90"/>
      <c r="H47" s="68"/>
    </row>
    <row r="48" spans="2:10" ht="15.75">
      <c r="B48" s="57" t="s">
        <v>195</v>
      </c>
      <c r="C48" s="405" t="s">
        <v>194</v>
      </c>
      <c r="D48" s="67"/>
      <c r="E48" s="67"/>
      <c r="F48" s="68"/>
      <c r="G48" s="90"/>
      <c r="H48" s="68"/>
    </row>
    <row r="49" spans="2:8" ht="15.75">
      <c r="B49" s="57" t="s">
        <v>307</v>
      </c>
      <c r="C49" s="405" t="s">
        <v>206</v>
      </c>
      <c r="D49" s="67"/>
      <c r="E49" s="67"/>
      <c r="F49" s="68"/>
      <c r="G49" s="90"/>
      <c r="H49" s="68"/>
    </row>
    <row r="50" spans="2:8" ht="15.75">
      <c r="B50" s="57" t="s">
        <v>352</v>
      </c>
      <c r="C50" s="405" t="s">
        <v>349</v>
      </c>
      <c r="D50" s="67"/>
      <c r="E50" s="67"/>
      <c r="G50" s="90"/>
    </row>
    <row r="51" spans="2:8" ht="15.75">
      <c r="B51" s="57" t="s">
        <v>351</v>
      </c>
      <c r="C51" s="405" t="s">
        <v>350</v>
      </c>
      <c r="D51" s="67"/>
      <c r="E51" s="67"/>
      <c r="G51" s="90"/>
    </row>
    <row r="52" spans="2:8" ht="15">
      <c r="B52" s="66" t="s">
        <v>393</v>
      </c>
      <c r="C52" s="406" t="s">
        <v>353</v>
      </c>
      <c r="D52" s="67"/>
      <c r="E52" s="67"/>
      <c r="G52" s="90"/>
    </row>
    <row r="53" spans="2:8" ht="15">
      <c r="D53" s="67"/>
      <c r="E53" s="67"/>
      <c r="F53" s="68"/>
      <c r="G53" s="90"/>
      <c r="H53" s="68"/>
    </row>
    <row r="54" spans="2:8" ht="15.75">
      <c r="B54" s="57" t="s">
        <v>308</v>
      </c>
      <c r="C54" s="405" t="s">
        <v>208</v>
      </c>
      <c r="D54" s="67"/>
      <c r="E54" s="67"/>
      <c r="G54" s="90"/>
    </row>
    <row r="55" spans="2:8" ht="15">
      <c r="C55" s="90"/>
      <c r="D55" s="67"/>
      <c r="E55" s="67"/>
      <c r="G55" s="90"/>
    </row>
    <row r="56" spans="2:8" ht="15">
      <c r="C56" s="90"/>
      <c r="D56" s="67"/>
      <c r="E56" s="67"/>
      <c r="G56" s="90"/>
    </row>
    <row r="57" spans="2:8" ht="15">
      <c r="C57" s="90"/>
      <c r="D57" s="67"/>
      <c r="E57" s="67"/>
      <c r="G57" s="90"/>
    </row>
    <row r="58" spans="2:8" ht="15">
      <c r="C58" s="90"/>
      <c r="D58" s="67"/>
      <c r="E58" s="67"/>
      <c r="G58" s="90"/>
    </row>
    <row r="59" spans="2:8" ht="15">
      <c r="C59" s="90"/>
      <c r="D59" s="67"/>
      <c r="E59" s="67"/>
      <c r="G59" s="90"/>
    </row>
    <row r="60" spans="2:8" ht="15">
      <c r="C60" s="90"/>
      <c r="D60" s="67"/>
      <c r="E60" s="67"/>
      <c r="G60" s="90"/>
    </row>
    <row r="61" spans="2:8" ht="15">
      <c r="C61" s="90"/>
      <c r="D61" s="67"/>
      <c r="E61" s="67"/>
      <c r="G61" s="90"/>
    </row>
    <row r="62" spans="2:8" ht="15">
      <c r="C62" s="90"/>
      <c r="D62" s="67"/>
      <c r="E62" s="67"/>
      <c r="G62" s="90"/>
    </row>
    <row r="63" spans="2:8" ht="15">
      <c r="C63" s="90"/>
      <c r="D63" s="67"/>
      <c r="E63" s="67"/>
      <c r="G63" s="90"/>
    </row>
    <row r="64" spans="2:8" ht="15">
      <c r="C64" s="90"/>
      <c r="D64" s="67"/>
      <c r="E64" s="67"/>
      <c r="G64" s="90"/>
    </row>
    <row r="65" spans="3:7" ht="15">
      <c r="C65" s="90"/>
      <c r="D65" s="67"/>
      <c r="E65" s="67"/>
      <c r="G65" s="90"/>
    </row>
    <row r="66" spans="3:7" ht="15">
      <c r="C66" s="90"/>
      <c r="D66" s="67"/>
      <c r="E66" s="67"/>
      <c r="G66" s="90"/>
    </row>
    <row r="67" spans="3:7" ht="15">
      <c r="C67" s="90"/>
      <c r="D67" s="67"/>
      <c r="E67" s="67"/>
      <c r="G67" s="90"/>
    </row>
    <row r="68" spans="3:7" ht="15">
      <c r="C68" s="90"/>
      <c r="D68" s="67"/>
      <c r="E68" s="67"/>
      <c r="G68" s="90"/>
    </row>
  </sheetData>
  <dataValidations count="1">
    <dataValidation type="whole" operator="greaterThanOrEqual" allowBlank="1" showInputMessage="1" showErrorMessage="1" sqref="C7:C41 G7:G41">
      <formula1>0</formula1>
    </dataValidation>
  </dataValidations>
  <hyperlinks>
    <hyperlink ref="C49" r:id="rId1"/>
    <hyperlink ref="C52" r:id="rId2"/>
    <hyperlink ref="C51" r:id="rId3"/>
    <hyperlink ref="C50" r:id="rId4"/>
    <hyperlink ref="B3" location="'Market Garden Budget'!A1" display="return to budget page"/>
  </hyperlinks>
  <pageMargins left="0.7" right="0.7" top="0.75" bottom="0.75" header="0.3" footer="0.3"/>
  <pageSetup scale="3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Market Garden Budget</vt:lpstr>
      <vt:lpstr>Sales Price Sheet</vt:lpstr>
      <vt:lpstr>Labor</vt:lpstr>
      <vt:lpstr>Pest Control</vt:lpstr>
      <vt:lpstr>Market Garden Startup Cost</vt:lpstr>
      <vt:lpstr>Transplant Seed Cost Sheet</vt:lpstr>
      <vt:lpstr>Direct Seeded Cost Sheet</vt:lpstr>
      <vt:lpstr>EARLY SEASON CROPS 1</vt:lpstr>
      <vt:lpstr>MID SEASON CROPS 2</vt:lpstr>
      <vt:lpstr>LATE SEASON CROPS 3</vt:lpstr>
      <vt:lpstr>Irrigation Budget Sheet</vt:lpstr>
      <vt:lpstr>Garden Space Planner</vt:lpstr>
      <vt:lpstr>Market Garden Irrigation Layout</vt:lpstr>
      <vt:lpstr>NC Length of Growing Season</vt:lpstr>
      <vt:lpstr>'Direct Seeded Cost Sheet'!Print_Area</vt:lpstr>
      <vt:lpstr>'EARLY SEASON CROPS 1'!Print_Area</vt:lpstr>
      <vt:lpstr>'Garden Space Planner'!Print_Area</vt:lpstr>
      <vt:lpstr>'Irrigation Budget Sheet'!Print_Area</vt:lpstr>
      <vt:lpstr>Labor!Print_Area</vt:lpstr>
      <vt:lpstr>'LATE SEASON CROPS 3'!Print_Area</vt:lpstr>
      <vt:lpstr>'Market Garden Budget'!Print_Area</vt:lpstr>
      <vt:lpstr>'Market Garden Irrigation Layout'!Print_Area</vt:lpstr>
      <vt:lpstr>'Market Garden Startup Cost'!Print_Area</vt:lpstr>
      <vt:lpstr>'MID SEASON CROPS 2'!Print_Area</vt:lpstr>
      <vt:lpstr>'NC Length of Growing Season'!Print_Area</vt:lpstr>
      <vt:lpstr>'Pest Control'!Print_Area</vt:lpstr>
      <vt:lpstr>'Sales Price Sheet'!Print_Area</vt:lpstr>
      <vt:lpstr>'Transplant Seed Cost Sheet'!Print_Area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dawashbu</dc:creator>
  <cp:lastModifiedBy>dawashbu</cp:lastModifiedBy>
  <cp:lastPrinted>2017-11-03T18:30:45Z</cp:lastPrinted>
  <dcterms:created xsi:type="dcterms:W3CDTF">2015-07-09T17:51:00Z</dcterms:created>
  <dcterms:modified xsi:type="dcterms:W3CDTF">2018-02-01T20:51:40Z</dcterms:modified>
</cp:coreProperties>
</file>